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BIL23\chiusura\Riadozione bilancio\"/>
    </mc:Choice>
  </mc:AlternateContent>
  <xr:revisionPtr revIDLastSave="0" documentId="13_ncr:1_{7B7D6381-2CCA-488F-998D-6D0080347255}" xr6:coauthVersionLast="47" xr6:coauthVersionMax="47" xr10:uidLastSave="{00000000-0000-0000-0000-000000000000}"/>
  <bookViews>
    <workbookView xWindow="28680" yWindow="-120" windowWidth="29040" windowHeight="15840" tabRatio="690" activeTab="3" xr2:uid="{00000000-000D-0000-FFFF-FFFF00000000}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Schema SP" sheetId="23" r:id="rId5"/>
    <sheet name="SP Min" sheetId="22" r:id="rId6"/>
    <sheet name="SP Attivo Alim" sheetId="19" r:id="rId7"/>
    <sheet name="Alimentazione SP P" sheetId="20" r:id="rId8"/>
    <sheet name="Rendiconto finanziario" sheetId="21" r:id="rId9"/>
    <sheet name="ce art. 44" sheetId="17" state="hidden" r:id="rId10"/>
  </sheets>
  <definedNames>
    <definedName name="_FilterDatabase" localSheetId="2" hidden="1">'Alimentazione CE Costi'!$A$2:$L$999</definedName>
    <definedName name="_FilterDatabase" localSheetId="3" hidden="1">'Alimentazione CE Ricavi'!$A$2:$GJ$273</definedName>
    <definedName name="_FilterDatabase" localSheetId="7" hidden="1">'Alimentazione SP P'!$A$2:$M$314</definedName>
    <definedName name="_FilterDatabase" localSheetId="6" hidden="1">'SP Attivo Alim'!$A$2:$N$260</definedName>
    <definedName name="_FilterDatabase" localSheetId="5" hidden="1">'SP Min'!$A$5:$WVU$322</definedName>
    <definedName name="_xlnm.Print_Area" localSheetId="2">'Alimentazione CE Costi'!$A$1:$L$974</definedName>
    <definedName name="_xlnm.Print_Area" localSheetId="7">'Alimentazione SP P'!$A$1:$J$315</definedName>
    <definedName name="_xlnm.Print_Area" localSheetId="1">'CE Min'!$A$1:$E$570</definedName>
    <definedName name="_xlnm.Print_Area" localSheetId="8">'Rendiconto finanziario'!$A$1:$D$115</definedName>
    <definedName name="_xlnm.Print_Area" localSheetId="4">'Schema SP'!$A$1:$L$167</definedName>
    <definedName name="_xlnm.Print_Area" localSheetId="5">'SP Min'!$A$1:$E$322</definedName>
    <definedName name="Print_Area" localSheetId="9">'ce art. 44'!$A$3:$C$58</definedName>
    <definedName name="Print_Area" localSheetId="1">'CE Min'!$A$1:$E$570</definedName>
    <definedName name="Print_Area" localSheetId="8">'Rendiconto finanziario'!$A$1:$D$115</definedName>
    <definedName name="Print_Area" localSheetId="5">'SP Min'!$A$1:$AB$322</definedName>
    <definedName name="Print_Titles" localSheetId="2">'Alimentazione CE Costi'!$1:$2</definedName>
    <definedName name="Print_Titles" localSheetId="3">'Alimentazione CE Ricavi'!$1:$2</definedName>
    <definedName name="Print_Titles" localSheetId="7">'Alimentazione SP P'!$1:$2</definedName>
    <definedName name="Print_Titles" localSheetId="1">'CE Min'!$6:$6</definedName>
    <definedName name="Print_Titles" localSheetId="0">'Schema CE'!$4:$5</definedName>
    <definedName name="Print_Titles" localSheetId="4">'Schema SP'!$3:$4</definedName>
    <definedName name="Print_Titles" localSheetId="6">'SP Attivo Alim'!$1:$2</definedName>
    <definedName name="Print_Titles" localSheetId="5">'SP Min'!$5:$5</definedName>
    <definedName name="_xlnm.Print_Titles" localSheetId="7">'Alimentazione SP P'!$1:$2</definedName>
    <definedName name="_xlnm.Print_Titles" localSheetId="8">'Rendiconto finanziario'!$1:$1</definedName>
    <definedName name="_xlnm.Print_Titles" localSheetId="6">'SP Attivo Alim'!$1:$2</definedName>
    <definedName name="_xlnm.Print_Titles" localSheetId="5">'SP Min'!$5:$5</definedName>
  </definedNames>
  <calcPr calcId="181029"/>
</workbook>
</file>

<file path=xl/calcChain.xml><?xml version="1.0" encoding="utf-8"?>
<calcChain xmlns="http://schemas.openxmlformats.org/spreadsheetml/2006/main">
  <c r="I261" i="19" l="1"/>
  <c r="E75" i="1"/>
  <c r="E63" i="1"/>
  <c r="E55" i="1"/>
  <c r="C104" i="21"/>
  <c r="O64" i="20" l="1"/>
  <c r="N64" i="20"/>
  <c r="C10" i="21"/>
  <c r="G141" i="23" l="1"/>
  <c r="H141" i="23"/>
  <c r="G52" i="23"/>
  <c r="H52" i="23"/>
  <c r="H47" i="23" s="1"/>
  <c r="H46" i="23" s="1"/>
  <c r="H48" i="23"/>
  <c r="G72" i="23"/>
  <c r="H72" i="23"/>
  <c r="G66" i="23"/>
  <c r="H66" i="23"/>
  <c r="G60" i="23"/>
  <c r="G59" i="23" s="1"/>
  <c r="H60" i="23"/>
  <c r="H59" i="23" s="1"/>
  <c r="G48" i="23"/>
  <c r="G47" i="23" s="1"/>
  <c r="H58" i="23" l="1"/>
  <c r="G58" i="23"/>
  <c r="G46" i="23" s="1"/>
  <c r="C9" i="21" l="1"/>
  <c r="O15" i="20" l="1"/>
  <c r="O14" i="20"/>
  <c r="O12" i="20"/>
  <c r="N12" i="20"/>
  <c r="E51" i="21"/>
  <c r="O67" i="20" l="1"/>
  <c r="C11" i="21" l="1"/>
  <c r="I297" i="20" l="1"/>
  <c r="J297" i="20"/>
  <c r="L974" i="3"/>
  <c r="K974" i="3"/>
  <c r="F37" i="1"/>
  <c r="J315" i="20" l="1"/>
  <c r="J262" i="19" s="1"/>
  <c r="I315" i="20"/>
  <c r="I262" i="19" s="1"/>
  <c r="C22" i="21" l="1"/>
  <c r="C19" i="21" l="1"/>
  <c r="C20" i="21" s="1"/>
  <c r="C15" i="21"/>
  <c r="C16" i="21" s="1"/>
  <c r="C13" i="21"/>
  <c r="C14" i="21" s="1"/>
  <c r="C8" i="21"/>
  <c r="C7" i="21"/>
  <c r="C6" i="21"/>
  <c r="C93" i="21"/>
  <c r="C95" i="21" s="1"/>
  <c r="C90" i="21"/>
  <c r="C87" i="21"/>
  <c r="C79" i="21"/>
  <c r="C70" i="21"/>
  <c r="C64" i="21"/>
  <c r="E145" i="22"/>
  <c r="E146" i="22"/>
  <c r="E147" i="22"/>
  <c r="E148" i="22"/>
  <c r="E149" i="22"/>
  <c r="E150" i="22"/>
  <c r="J74" i="23" s="1"/>
  <c r="E151" i="22"/>
  <c r="D148" i="22"/>
  <c r="D147" i="22"/>
  <c r="D146" i="22"/>
  <c r="D145" i="22"/>
  <c r="L160" i="23"/>
  <c r="K160" i="23"/>
  <c r="L156" i="23"/>
  <c r="K156" i="23"/>
  <c r="L136" i="23"/>
  <c r="K136" i="23"/>
  <c r="L135" i="23"/>
  <c r="K135" i="23"/>
  <c r="L131" i="23"/>
  <c r="K131" i="23"/>
  <c r="L124" i="23"/>
  <c r="K124" i="23"/>
  <c r="L87" i="23"/>
  <c r="K87" i="23"/>
  <c r="L45" i="23"/>
  <c r="K45" i="23"/>
  <c r="G29" i="23"/>
  <c r="G28" i="23" s="1"/>
  <c r="L27" i="23"/>
  <c r="K27" i="23"/>
  <c r="E9" i="22"/>
  <c r="E10" i="22"/>
  <c r="E12" i="22"/>
  <c r="E13" i="22"/>
  <c r="E15" i="22"/>
  <c r="E16" i="22"/>
  <c r="E17" i="22"/>
  <c r="E18" i="22"/>
  <c r="E19" i="22"/>
  <c r="J11" i="23" s="1"/>
  <c r="E21" i="22"/>
  <c r="E22" i="22"/>
  <c r="E23" i="22"/>
  <c r="E24" i="22"/>
  <c r="E25" i="22"/>
  <c r="E26" i="22"/>
  <c r="E27" i="22"/>
  <c r="E28" i="22"/>
  <c r="E30" i="22"/>
  <c r="E31" i="22"/>
  <c r="E32" i="22"/>
  <c r="E33" i="22"/>
  <c r="E36" i="22"/>
  <c r="J15" i="23" s="1"/>
  <c r="E37" i="22"/>
  <c r="J16" i="23" s="1"/>
  <c r="E40" i="22"/>
  <c r="E41" i="22"/>
  <c r="E43" i="22"/>
  <c r="E44" i="22"/>
  <c r="E46" i="22"/>
  <c r="E47" i="22"/>
  <c r="E49" i="22"/>
  <c r="E50" i="22"/>
  <c r="E52" i="22"/>
  <c r="E53" i="22"/>
  <c r="E55" i="22"/>
  <c r="E56" i="22"/>
  <c r="E57" i="22"/>
  <c r="E59" i="22"/>
  <c r="E60" i="22"/>
  <c r="E61" i="22"/>
  <c r="J26" i="23" s="1"/>
  <c r="E63" i="22"/>
  <c r="E64" i="22"/>
  <c r="E65" i="22"/>
  <c r="E66" i="22"/>
  <c r="E67" i="22"/>
  <c r="E68" i="22"/>
  <c r="E69" i="22"/>
  <c r="E70" i="22"/>
  <c r="E73" i="22"/>
  <c r="J30" i="23" s="1"/>
  <c r="E74" i="22"/>
  <c r="E75" i="22"/>
  <c r="J32" i="23" s="1"/>
  <c r="E76" i="22"/>
  <c r="J33" i="23" s="1"/>
  <c r="E78" i="22"/>
  <c r="J35" i="23" s="1"/>
  <c r="E80" i="22"/>
  <c r="E81" i="22"/>
  <c r="E82" i="22"/>
  <c r="E83" i="22"/>
  <c r="E87" i="22"/>
  <c r="E88" i="22"/>
  <c r="E89" i="22"/>
  <c r="E90" i="22"/>
  <c r="E91" i="22"/>
  <c r="E92" i="22"/>
  <c r="E93" i="22"/>
  <c r="E94" i="22"/>
  <c r="E95" i="22"/>
  <c r="J43" i="23" s="1"/>
  <c r="E97" i="22"/>
  <c r="E98" i="22"/>
  <c r="E99" i="22"/>
  <c r="E100" i="22"/>
  <c r="E101" i="22"/>
  <c r="E102" i="22"/>
  <c r="E103" i="22"/>
  <c r="J44" i="23" s="1"/>
  <c r="E106" i="22"/>
  <c r="E107" i="22"/>
  <c r="E108" i="22"/>
  <c r="E109" i="22"/>
  <c r="E110" i="22"/>
  <c r="E111" i="22"/>
  <c r="E112" i="22"/>
  <c r="J50" i="23" s="1"/>
  <c r="E113" i="22"/>
  <c r="E114" i="22"/>
  <c r="J51" i="23" s="1"/>
  <c r="E116" i="22"/>
  <c r="J53" i="23" s="1"/>
  <c r="E117" i="22"/>
  <c r="J54" i="23" s="1"/>
  <c r="E118" i="22"/>
  <c r="J55" i="23" s="1"/>
  <c r="E119" i="22"/>
  <c r="J56" i="23" s="1"/>
  <c r="E120" i="22"/>
  <c r="J57" i="23" s="1"/>
  <c r="E123" i="22"/>
  <c r="E124" i="22"/>
  <c r="E125" i="22"/>
  <c r="E126" i="22"/>
  <c r="E127" i="22"/>
  <c r="J62" i="23" s="1"/>
  <c r="E128" i="22"/>
  <c r="J63" i="23" s="1"/>
  <c r="E129" i="22"/>
  <c r="J64" i="23" s="1"/>
  <c r="E130" i="22"/>
  <c r="E131" i="22"/>
  <c r="J65" i="23" s="1"/>
  <c r="E132" i="22"/>
  <c r="E134" i="22"/>
  <c r="J67" i="23" s="1"/>
  <c r="E135" i="22"/>
  <c r="E136" i="22"/>
  <c r="E137" i="22"/>
  <c r="E138" i="22"/>
  <c r="E139" i="22"/>
  <c r="J70" i="23" s="1"/>
  <c r="E140" i="22"/>
  <c r="E141" i="22"/>
  <c r="E142" i="22"/>
  <c r="J71" i="23" s="1"/>
  <c r="E153" i="22"/>
  <c r="E154" i="22"/>
  <c r="E155" i="22"/>
  <c r="E156" i="22"/>
  <c r="J76" i="23" s="1"/>
  <c r="E158" i="22"/>
  <c r="E159" i="22"/>
  <c r="E160" i="22"/>
  <c r="E161" i="22"/>
  <c r="E163" i="22"/>
  <c r="E164" i="22"/>
  <c r="E166" i="22"/>
  <c r="E167" i="22"/>
  <c r="E169" i="22"/>
  <c r="E170" i="22"/>
  <c r="J80" i="23" s="1"/>
  <c r="E172" i="22"/>
  <c r="J82" i="23" s="1"/>
  <c r="E173" i="22"/>
  <c r="J83" i="23" s="1"/>
  <c r="E174" i="22"/>
  <c r="J84" i="23" s="1"/>
  <c r="E175" i="22"/>
  <c r="J85" i="23" s="1"/>
  <c r="E178" i="22"/>
  <c r="E179" i="22"/>
  <c r="E181" i="22"/>
  <c r="E182" i="22"/>
  <c r="E185" i="22"/>
  <c r="E186" i="22"/>
  <c r="J95" i="23" s="1"/>
  <c r="E187" i="22"/>
  <c r="J96" i="23" s="1"/>
  <c r="E188" i="22"/>
  <c r="E189" i="22"/>
  <c r="E191" i="22"/>
  <c r="J108" i="23" s="1"/>
  <c r="E193" i="22"/>
  <c r="E195" i="22"/>
  <c r="E196" i="22"/>
  <c r="J113" i="23" s="1"/>
  <c r="E197" i="22"/>
  <c r="J114" i="23" s="1"/>
  <c r="E198" i="22"/>
  <c r="J115" i="23" s="1"/>
  <c r="E199" i="22"/>
  <c r="J116" i="23" s="1"/>
  <c r="E200" i="22"/>
  <c r="J117" i="23" s="1"/>
  <c r="E201" i="22"/>
  <c r="J118" i="23" s="1"/>
  <c r="E203" i="22"/>
  <c r="E204" i="22"/>
  <c r="E205" i="22"/>
  <c r="E206" i="22"/>
  <c r="E207" i="22"/>
  <c r="E209" i="22"/>
  <c r="E210" i="22"/>
  <c r="E211" i="22"/>
  <c r="E212" i="22"/>
  <c r="J121" i="23" s="1"/>
  <c r="E213" i="22"/>
  <c r="J122" i="23" s="1"/>
  <c r="E215" i="22"/>
  <c r="J125" i="23" s="1"/>
  <c r="E217" i="22"/>
  <c r="E218" i="22"/>
  <c r="E219" i="22"/>
  <c r="E220" i="22"/>
  <c r="E221" i="22"/>
  <c r="E222" i="22"/>
  <c r="E223" i="22"/>
  <c r="E225" i="22"/>
  <c r="E226" i="22"/>
  <c r="E227" i="22"/>
  <c r="E228" i="22"/>
  <c r="E229" i="22"/>
  <c r="E230" i="22"/>
  <c r="E231" i="22"/>
  <c r="E232" i="22"/>
  <c r="E234" i="22"/>
  <c r="E235" i="22"/>
  <c r="E236" i="22"/>
  <c r="E237" i="22"/>
  <c r="E238" i="22"/>
  <c r="E240" i="22"/>
  <c r="E242" i="22"/>
  <c r="E243" i="22"/>
  <c r="E244" i="22"/>
  <c r="E245" i="22"/>
  <c r="E246" i="22"/>
  <c r="E248" i="22"/>
  <c r="E249" i="22"/>
  <c r="E250" i="22"/>
  <c r="E252" i="22"/>
  <c r="J137" i="23" s="1"/>
  <c r="E254" i="22"/>
  <c r="E255" i="22"/>
  <c r="E256" i="22"/>
  <c r="E257" i="22"/>
  <c r="E258" i="22"/>
  <c r="E260" i="22"/>
  <c r="E261" i="22"/>
  <c r="E262" i="22"/>
  <c r="E263" i="22"/>
  <c r="E264" i="22"/>
  <c r="E265" i="22"/>
  <c r="E266" i="22"/>
  <c r="E267" i="22"/>
  <c r="E268" i="22"/>
  <c r="E269" i="22"/>
  <c r="E270" i="22"/>
  <c r="J140" i="23" s="1"/>
  <c r="E273" i="22"/>
  <c r="E274" i="22"/>
  <c r="J143" i="23" s="1"/>
  <c r="E275" i="22"/>
  <c r="J144" i="23" s="1"/>
  <c r="E276" i="22"/>
  <c r="E277" i="22"/>
  <c r="E278" i="22"/>
  <c r="E279" i="22"/>
  <c r="E280" i="22"/>
  <c r="E281" i="22"/>
  <c r="E282" i="22"/>
  <c r="J147" i="23" s="1"/>
  <c r="E284" i="22"/>
  <c r="E285" i="22"/>
  <c r="E286" i="22"/>
  <c r="E287" i="22"/>
  <c r="E288" i="22"/>
  <c r="E290" i="22"/>
  <c r="E291" i="22"/>
  <c r="E292" i="22"/>
  <c r="E295" i="22"/>
  <c r="E296" i="22"/>
  <c r="E298" i="22"/>
  <c r="E299" i="22"/>
  <c r="E300" i="22"/>
  <c r="J150" i="23" s="1"/>
  <c r="E301" i="22"/>
  <c r="J151" i="23" s="1"/>
  <c r="E302" i="22"/>
  <c r="J153" i="23" s="1"/>
  <c r="E304" i="22"/>
  <c r="J152" i="23" s="1"/>
  <c r="E305" i="22"/>
  <c r="E306" i="22"/>
  <c r="E307" i="22"/>
  <c r="E310" i="22"/>
  <c r="E311" i="22"/>
  <c r="E313" i="22"/>
  <c r="E314" i="22"/>
  <c r="E315" i="22"/>
  <c r="E318" i="22"/>
  <c r="E319" i="22"/>
  <c r="J164" i="23" s="1"/>
  <c r="E320" i="22"/>
  <c r="J165" i="23" s="1"/>
  <c r="E321" i="22"/>
  <c r="E322" i="22"/>
  <c r="D213" i="22"/>
  <c r="I122" i="23" s="1"/>
  <c r="C4" i="21" s="1"/>
  <c r="D175" i="22"/>
  <c r="I85" i="23" s="1"/>
  <c r="D172" i="22"/>
  <c r="I82" i="23" s="1"/>
  <c r="D322" i="22"/>
  <c r="D307" i="22"/>
  <c r="D306" i="22"/>
  <c r="D305" i="22"/>
  <c r="D302" i="22"/>
  <c r="I153" i="23" s="1"/>
  <c r="D301" i="22"/>
  <c r="I151" i="23" s="1"/>
  <c r="D300" i="22"/>
  <c r="I150" i="23" s="1"/>
  <c r="D298" i="22"/>
  <c r="D295" i="22"/>
  <c r="D292" i="22"/>
  <c r="D282" i="22"/>
  <c r="I147" i="23" s="1"/>
  <c r="D278" i="22"/>
  <c r="D277" i="22"/>
  <c r="D270" i="22"/>
  <c r="I140" i="23" s="1"/>
  <c r="D269" i="22"/>
  <c r="D261" i="22"/>
  <c r="D260" i="22"/>
  <c r="D258" i="22"/>
  <c r="D245" i="22"/>
  <c r="D238" i="22"/>
  <c r="D223" i="22"/>
  <c r="D199" i="22"/>
  <c r="I116" i="23" s="1"/>
  <c r="D198" i="22"/>
  <c r="I115" i="23" s="1"/>
  <c r="D166" i="22"/>
  <c r="D163" i="22"/>
  <c r="D161" i="22"/>
  <c r="D160" i="22"/>
  <c r="D159" i="22"/>
  <c r="D158" i="22"/>
  <c r="D156" i="22"/>
  <c r="I76" i="23" s="1"/>
  <c r="D155" i="22"/>
  <c r="D154" i="22"/>
  <c r="D153" i="22"/>
  <c r="D150" i="22"/>
  <c r="I74" i="23" s="1"/>
  <c r="D142" i="22"/>
  <c r="I71" i="23" s="1"/>
  <c r="D139" i="22"/>
  <c r="I70" i="23" s="1"/>
  <c r="D138" i="22"/>
  <c r="D136" i="22"/>
  <c r="D135" i="22"/>
  <c r="I68" i="23" s="1"/>
  <c r="D134" i="22"/>
  <c r="I67" i="23" s="1"/>
  <c r="D132" i="22"/>
  <c r="D131" i="22"/>
  <c r="I65" i="23" s="1"/>
  <c r="D130" i="22"/>
  <c r="D129" i="22"/>
  <c r="I64" i="23" s="1"/>
  <c r="D128" i="22"/>
  <c r="I63" i="23" s="1"/>
  <c r="D127" i="22"/>
  <c r="I62" i="23" s="1"/>
  <c r="D126" i="22"/>
  <c r="D125" i="22"/>
  <c r="D124" i="22"/>
  <c r="D123" i="22"/>
  <c r="D120" i="22"/>
  <c r="I57" i="23" s="1"/>
  <c r="D119" i="22"/>
  <c r="I56" i="23" s="1"/>
  <c r="D118" i="22"/>
  <c r="I55" i="23" s="1"/>
  <c r="D117" i="22"/>
  <c r="I54" i="23" s="1"/>
  <c r="K54" i="23" s="1"/>
  <c r="D116" i="22"/>
  <c r="I53" i="23" s="1"/>
  <c r="D114" i="22"/>
  <c r="I51" i="23" s="1"/>
  <c r="D113" i="22"/>
  <c r="D112" i="22"/>
  <c r="I50" i="23" s="1"/>
  <c r="D111" i="22"/>
  <c r="D110" i="22"/>
  <c r="D109" i="22"/>
  <c r="D108" i="22"/>
  <c r="D107" i="22"/>
  <c r="D106" i="22"/>
  <c r="D76" i="22"/>
  <c r="I33" i="23" s="1"/>
  <c r="H29" i="23" s="1"/>
  <c r="H28" i="23" s="1"/>
  <c r="D75" i="22"/>
  <c r="I32" i="23" s="1"/>
  <c r="D74" i="22"/>
  <c r="I31" i="23" s="1"/>
  <c r="D73" i="22"/>
  <c r="I30" i="23" s="1"/>
  <c r="D64" i="22"/>
  <c r="D63" i="22"/>
  <c r="D189" i="22"/>
  <c r="D188" i="22"/>
  <c r="D187" i="22"/>
  <c r="I96" i="23" s="1"/>
  <c r="D186" i="22"/>
  <c r="I95" i="23" s="1"/>
  <c r="D185" i="22"/>
  <c r="I94" i="23" s="1"/>
  <c r="D182" i="22"/>
  <c r="D181" i="22"/>
  <c r="D179" i="22"/>
  <c r="D178" i="22"/>
  <c r="D174" i="22"/>
  <c r="I84" i="23" s="1"/>
  <c r="D173" i="22"/>
  <c r="I83" i="23" s="1"/>
  <c r="K83" i="23" s="1"/>
  <c r="D170" i="22"/>
  <c r="I80" i="23" s="1"/>
  <c r="D169" i="22"/>
  <c r="D167" i="22"/>
  <c r="D164" i="22"/>
  <c r="D151" i="22"/>
  <c r="D149" i="22"/>
  <c r="D141" i="22"/>
  <c r="D140" i="22"/>
  <c r="D137" i="22"/>
  <c r="D103" i="22"/>
  <c r="I44" i="23" s="1"/>
  <c r="D102" i="22"/>
  <c r="D101" i="22"/>
  <c r="D100" i="22"/>
  <c r="D99" i="22"/>
  <c r="D98" i="22"/>
  <c r="D97" i="22"/>
  <c r="D95" i="22"/>
  <c r="I43" i="23" s="1"/>
  <c r="D94" i="22"/>
  <c r="D93" i="22"/>
  <c r="D92" i="22"/>
  <c r="D91" i="22"/>
  <c r="D90" i="22"/>
  <c r="D89" i="22"/>
  <c r="D88" i="22"/>
  <c r="D87" i="22"/>
  <c r="D83" i="22"/>
  <c r="D82" i="22"/>
  <c r="D81" i="22"/>
  <c r="D80" i="22"/>
  <c r="D78" i="22"/>
  <c r="I35" i="23" s="1"/>
  <c r="D61" i="22"/>
  <c r="I26" i="23" s="1"/>
  <c r="D59" i="22"/>
  <c r="D57" i="22"/>
  <c r="D55" i="22"/>
  <c r="D52" i="22"/>
  <c r="D49" i="22"/>
  <c r="D46" i="22"/>
  <c r="D43" i="22"/>
  <c r="D40" i="22"/>
  <c r="D37" i="22"/>
  <c r="I16" i="23" s="1"/>
  <c r="D36" i="22"/>
  <c r="I15" i="23" s="1"/>
  <c r="D27" i="22"/>
  <c r="D25" i="22"/>
  <c r="D23" i="22"/>
  <c r="D21" i="22"/>
  <c r="D19" i="22"/>
  <c r="I11" i="23" s="1"/>
  <c r="D17" i="22"/>
  <c r="D15" i="22"/>
  <c r="D12" i="22"/>
  <c r="D321" i="22"/>
  <c r="D320" i="22"/>
  <c r="I165" i="23" s="1"/>
  <c r="D319" i="22"/>
  <c r="I164" i="23" s="1"/>
  <c r="D318" i="22"/>
  <c r="I163" i="23" s="1"/>
  <c r="D315" i="22"/>
  <c r="D314" i="22"/>
  <c r="D313" i="22"/>
  <c r="D311" i="22"/>
  <c r="D310" i="22"/>
  <c r="D304" i="22"/>
  <c r="I152" i="23" s="1"/>
  <c r="K152" i="23" s="1"/>
  <c r="D299" i="22"/>
  <c r="D296" i="22"/>
  <c r="D291" i="22"/>
  <c r="D290" i="22"/>
  <c r="D288" i="22"/>
  <c r="D287" i="22"/>
  <c r="D286" i="22"/>
  <c r="D285" i="22"/>
  <c r="D284" i="22"/>
  <c r="D281" i="22"/>
  <c r="D280" i="22"/>
  <c r="D279" i="22"/>
  <c r="D276" i="22"/>
  <c r="D275" i="22"/>
  <c r="I144" i="23" s="1"/>
  <c r="K144" i="23" s="1"/>
  <c r="D274" i="22"/>
  <c r="I143" i="23" s="1"/>
  <c r="D273" i="22"/>
  <c r="D268" i="22"/>
  <c r="D267" i="22"/>
  <c r="D266" i="22"/>
  <c r="D265" i="22"/>
  <c r="D264" i="22"/>
  <c r="D263" i="22"/>
  <c r="D262" i="22"/>
  <c r="D257" i="22"/>
  <c r="D256" i="22"/>
  <c r="D255" i="22"/>
  <c r="D254" i="22"/>
  <c r="D252" i="22"/>
  <c r="I137" i="23" s="1"/>
  <c r="D250" i="22"/>
  <c r="D249" i="22"/>
  <c r="I133" i="23" s="1"/>
  <c r="D248" i="22"/>
  <c r="I132" i="23" s="1"/>
  <c r="D246" i="22"/>
  <c r="D244" i="22"/>
  <c r="D243" i="22"/>
  <c r="D242" i="22"/>
  <c r="D240" i="22"/>
  <c r="D237" i="22"/>
  <c r="D236" i="22"/>
  <c r="D235" i="22"/>
  <c r="D234" i="22"/>
  <c r="D232" i="22"/>
  <c r="D231" i="22"/>
  <c r="D230" i="22"/>
  <c r="D229" i="22"/>
  <c r="D228" i="22"/>
  <c r="D227" i="22"/>
  <c r="D226" i="22"/>
  <c r="D225" i="22"/>
  <c r="D222" i="22"/>
  <c r="D221" i="22"/>
  <c r="D220" i="22"/>
  <c r="D219" i="22"/>
  <c r="D218" i="22"/>
  <c r="D217" i="22"/>
  <c r="D215" i="22"/>
  <c r="I125" i="23" s="1"/>
  <c r="D212" i="22"/>
  <c r="I121" i="23" s="1"/>
  <c r="D211" i="22"/>
  <c r="D210" i="22"/>
  <c r="D209" i="22"/>
  <c r="D207" i="22"/>
  <c r="D206" i="22"/>
  <c r="D205" i="22"/>
  <c r="D204" i="22"/>
  <c r="D203" i="22"/>
  <c r="D201" i="22"/>
  <c r="I118" i="23" s="1"/>
  <c r="K118" i="23" s="1"/>
  <c r="D200" i="22"/>
  <c r="I117" i="23" s="1"/>
  <c r="D197" i="22"/>
  <c r="I114" i="23" s="1"/>
  <c r="D196" i="22"/>
  <c r="I113" i="23" s="1"/>
  <c r="K113" i="23" s="1"/>
  <c r="D195" i="22"/>
  <c r="I112" i="23" s="1"/>
  <c r="D193" i="22"/>
  <c r="I110" i="23" s="1"/>
  <c r="D191" i="22"/>
  <c r="I108" i="23" s="1"/>
  <c r="D70" i="22"/>
  <c r="D69" i="22"/>
  <c r="D68" i="22"/>
  <c r="D67" i="22"/>
  <c r="D66" i="22"/>
  <c r="D65" i="22"/>
  <c r="D60" i="22"/>
  <c r="D56" i="22"/>
  <c r="D54" i="22" s="1"/>
  <c r="D53" i="22"/>
  <c r="D50" i="22"/>
  <c r="D48" i="22" s="1"/>
  <c r="D47" i="22"/>
  <c r="D44" i="22"/>
  <c r="D42" i="22" s="1"/>
  <c r="I19" i="23" s="1"/>
  <c r="D41" i="22"/>
  <c r="D39" i="22" s="1"/>
  <c r="I18" i="23" s="1"/>
  <c r="D33" i="22"/>
  <c r="D32" i="22"/>
  <c r="D31" i="22"/>
  <c r="D30" i="22"/>
  <c r="D28" i="22"/>
  <c r="D26" i="22"/>
  <c r="D24" i="22"/>
  <c r="D22" i="22"/>
  <c r="D18" i="22"/>
  <c r="D16" i="22"/>
  <c r="D13" i="22"/>
  <c r="D10" i="22"/>
  <c r="D9" i="22"/>
  <c r="J9" i="22"/>
  <c r="J247" i="19"/>
  <c r="J261" i="19" s="1"/>
  <c r="I247" i="19"/>
  <c r="I23" i="23" l="1"/>
  <c r="K96" i="23"/>
  <c r="K125" i="23"/>
  <c r="K143" i="23"/>
  <c r="I166" i="23"/>
  <c r="I167" i="23" s="1"/>
  <c r="K147" i="23"/>
  <c r="J69" i="23"/>
  <c r="E39" i="22"/>
  <c r="J18" i="23" s="1"/>
  <c r="K18" i="23" s="1"/>
  <c r="L18" i="23" s="1"/>
  <c r="I69" i="23"/>
  <c r="I66" i="23" s="1"/>
  <c r="J154" i="23"/>
  <c r="E162" i="22"/>
  <c r="K35" i="23"/>
  <c r="D162" i="22"/>
  <c r="E144" i="22"/>
  <c r="E143" i="22" s="1"/>
  <c r="C21" i="21"/>
  <c r="C17" i="21"/>
  <c r="C12" i="21"/>
  <c r="E303" i="22"/>
  <c r="E253" i="22"/>
  <c r="J138" i="23" s="1"/>
  <c r="E51" i="22"/>
  <c r="J22" i="23" s="1"/>
  <c r="K121" i="23"/>
  <c r="L121" i="23" s="1"/>
  <c r="I142" i="23"/>
  <c r="K70" i="23"/>
  <c r="C102" i="21" s="1"/>
  <c r="I145" i="23"/>
  <c r="J166" i="23"/>
  <c r="E309" i="22"/>
  <c r="J157" i="23" s="1"/>
  <c r="L118" i="23"/>
  <c r="L152" i="23"/>
  <c r="E294" i="22"/>
  <c r="L144" i="23"/>
  <c r="L147" i="23"/>
  <c r="L143" i="23"/>
  <c r="L125" i="23"/>
  <c r="L113" i="23"/>
  <c r="K140" i="23"/>
  <c r="K151" i="23"/>
  <c r="J142" i="23"/>
  <c r="I21" i="23"/>
  <c r="K164" i="23"/>
  <c r="L164" i="23" s="1"/>
  <c r="J145" i="23"/>
  <c r="J133" i="23"/>
  <c r="I154" i="23"/>
  <c r="E247" i="22"/>
  <c r="E11" i="22"/>
  <c r="J9" i="23" s="1"/>
  <c r="I111" i="23"/>
  <c r="I109" i="23" s="1"/>
  <c r="E152" i="22"/>
  <c r="J75" i="23" s="1"/>
  <c r="K137" i="23"/>
  <c r="E216" i="22"/>
  <c r="J126" i="23" s="1"/>
  <c r="K150" i="23"/>
  <c r="K117" i="23"/>
  <c r="L117" i="23" s="1"/>
  <c r="K56" i="23"/>
  <c r="L56" i="23" s="1"/>
  <c r="J97" i="23"/>
  <c r="I97" i="23"/>
  <c r="K51" i="23"/>
  <c r="L51" i="23" s="1"/>
  <c r="L83" i="23"/>
  <c r="E184" i="22"/>
  <c r="I24" i="23"/>
  <c r="D180" i="22"/>
  <c r="I89" i="23" s="1"/>
  <c r="K63" i="23"/>
  <c r="L63" i="23" s="1"/>
  <c r="E180" i="22"/>
  <c r="J89" i="23" s="1"/>
  <c r="E168" i="22"/>
  <c r="K85" i="23"/>
  <c r="L85" i="23" s="1"/>
  <c r="E79" i="22"/>
  <c r="E77" i="22" s="1"/>
  <c r="D11" i="22"/>
  <c r="I9" i="23" s="1"/>
  <c r="D168" i="22"/>
  <c r="E35" i="22"/>
  <c r="K80" i="23"/>
  <c r="L80" i="23" s="1"/>
  <c r="I81" i="23"/>
  <c r="K82" i="23"/>
  <c r="L82" i="23" s="1"/>
  <c r="K43" i="23"/>
  <c r="I14" i="23"/>
  <c r="K16" i="23"/>
  <c r="L16" i="23" s="1"/>
  <c r="K30" i="23"/>
  <c r="L30" i="23" s="1"/>
  <c r="J14" i="23"/>
  <c r="K84" i="23"/>
  <c r="L84" i="23" s="1"/>
  <c r="K44" i="23"/>
  <c r="L44" i="23" s="1"/>
  <c r="I98" i="23"/>
  <c r="K95" i="23"/>
  <c r="L95" i="23" s="1"/>
  <c r="L35" i="23"/>
  <c r="E86" i="22"/>
  <c r="J41" i="23" s="1"/>
  <c r="J79" i="23"/>
  <c r="J94" i="23"/>
  <c r="E177" i="22"/>
  <c r="E165" i="22"/>
  <c r="J24" i="23"/>
  <c r="D35" i="22"/>
  <c r="K32" i="23"/>
  <c r="L32" i="23" s="1"/>
  <c r="I61" i="23"/>
  <c r="I60" i="23" s="1"/>
  <c r="I59" i="23" s="1"/>
  <c r="E171" i="22"/>
  <c r="I49" i="23"/>
  <c r="I48" i="23" s="1"/>
  <c r="E133" i="22"/>
  <c r="E96" i="22"/>
  <c r="J42" i="23" s="1"/>
  <c r="I79" i="23"/>
  <c r="I78" i="23" s="1"/>
  <c r="K114" i="23"/>
  <c r="L114" i="23" s="1"/>
  <c r="K53" i="23"/>
  <c r="L53" i="23" s="1"/>
  <c r="K115" i="23"/>
  <c r="L115" i="23" s="1"/>
  <c r="K50" i="23"/>
  <c r="L50" i="23" s="1"/>
  <c r="L54" i="23"/>
  <c r="K153" i="23"/>
  <c r="K57" i="23"/>
  <c r="L57" i="23" s="1"/>
  <c r="E224" i="22"/>
  <c r="J127" i="23" s="1"/>
  <c r="K74" i="23"/>
  <c r="L74" i="23" s="1"/>
  <c r="E289" i="22"/>
  <c r="J148" i="23" s="1"/>
  <c r="E194" i="22"/>
  <c r="E192" i="22" s="1"/>
  <c r="E72" i="22"/>
  <c r="E42" i="22"/>
  <c r="J19" i="23" s="1"/>
  <c r="I29" i="23"/>
  <c r="E312" i="22"/>
  <c r="J158" i="23" s="1"/>
  <c r="E233" i="22"/>
  <c r="J128" i="23" s="1"/>
  <c r="E54" i="22"/>
  <c r="J23" i="23" s="1"/>
  <c r="E14" i="22"/>
  <c r="J10" i="23" s="1"/>
  <c r="J68" i="23"/>
  <c r="K165" i="23"/>
  <c r="L165" i="23" s="1"/>
  <c r="E241" i="22"/>
  <c r="E239" i="22" s="1"/>
  <c r="J129" i="23" s="1"/>
  <c r="E202" i="22"/>
  <c r="J119" i="23" s="1"/>
  <c r="E122" i="22"/>
  <c r="E62" i="22"/>
  <c r="E29" i="22"/>
  <c r="J31" i="23"/>
  <c r="J110" i="23"/>
  <c r="K110" i="23" s="1"/>
  <c r="E259" i="22"/>
  <c r="J139" i="23" s="1"/>
  <c r="E283" i="22"/>
  <c r="J146" i="23" s="1"/>
  <c r="E20" i="22"/>
  <c r="J12" i="23" s="1"/>
  <c r="J132" i="23"/>
  <c r="E297" i="22"/>
  <c r="E115" i="22"/>
  <c r="E105" i="22" s="1"/>
  <c r="J49" i="23"/>
  <c r="J48" i="23" s="1"/>
  <c r="J61" i="23"/>
  <c r="J112" i="23"/>
  <c r="E272" i="22"/>
  <c r="E317" i="22"/>
  <c r="E208" i="22"/>
  <c r="J120" i="23" s="1"/>
  <c r="E58" i="22"/>
  <c r="J25" i="23" s="1"/>
  <c r="E48" i="22"/>
  <c r="J21" i="23" s="1"/>
  <c r="E8" i="22"/>
  <c r="J8" i="23" s="1"/>
  <c r="J163" i="23"/>
  <c r="E45" i="22"/>
  <c r="J20" i="23" s="1"/>
  <c r="J73" i="23"/>
  <c r="K55" i="23"/>
  <c r="L55" i="23" s="1"/>
  <c r="K76" i="23"/>
  <c r="L96" i="23"/>
  <c r="K11" i="23"/>
  <c r="L11" i="23" s="1"/>
  <c r="K33" i="23"/>
  <c r="L33" i="23" s="1"/>
  <c r="K62" i="23"/>
  <c r="L62" i="23" s="1"/>
  <c r="K116" i="23"/>
  <c r="L116" i="23" s="1"/>
  <c r="K26" i="23"/>
  <c r="L26" i="23" s="1"/>
  <c r="K67" i="23"/>
  <c r="K71" i="23"/>
  <c r="K65" i="23"/>
  <c r="L65" i="23" s="1"/>
  <c r="I52" i="23"/>
  <c r="J52" i="23"/>
  <c r="K64" i="23"/>
  <c r="L64" i="23" s="1"/>
  <c r="K122" i="23"/>
  <c r="L122" i="23" s="1"/>
  <c r="I17" i="23"/>
  <c r="K15" i="23"/>
  <c r="L15" i="23" s="1"/>
  <c r="K108" i="23"/>
  <c r="L108" i="23" s="1"/>
  <c r="J81" i="23"/>
  <c r="I134" i="23"/>
  <c r="D51" i="22"/>
  <c r="I22" i="23" s="1"/>
  <c r="D72" i="22"/>
  <c r="D122" i="22"/>
  <c r="D144" i="22"/>
  <c r="D96" i="22"/>
  <c r="D133" i="22"/>
  <c r="D177" i="22"/>
  <c r="D115" i="22"/>
  <c r="D105" i="22" s="1"/>
  <c r="D86" i="22"/>
  <c r="I41" i="23" s="1"/>
  <c r="D79" i="22"/>
  <c r="D152" i="22"/>
  <c r="I75" i="23" s="1"/>
  <c r="D165" i="22"/>
  <c r="D184" i="22"/>
  <c r="D171" i="22"/>
  <c r="D45" i="22"/>
  <c r="I20" i="23" s="1"/>
  <c r="D20" i="22"/>
  <c r="I12" i="23" s="1"/>
  <c r="D241" i="22"/>
  <c r="D239" i="22" s="1"/>
  <c r="I129" i="23" s="1"/>
  <c r="D294" i="22"/>
  <c r="D309" i="22"/>
  <c r="I157" i="23" s="1"/>
  <c r="D253" i="22"/>
  <c r="I138" i="23" s="1"/>
  <c r="D289" i="22"/>
  <c r="I148" i="23" s="1"/>
  <c r="D297" i="22"/>
  <c r="D317" i="22"/>
  <c r="D312" i="22"/>
  <c r="I158" i="23" s="1"/>
  <c r="D194" i="22"/>
  <c r="D192" i="22" s="1"/>
  <c r="D202" i="22"/>
  <c r="I119" i="23" s="1"/>
  <c r="D283" i="22"/>
  <c r="I146" i="23" s="1"/>
  <c r="D29" i="22"/>
  <c r="D216" i="22"/>
  <c r="I126" i="23" s="1"/>
  <c r="D224" i="22"/>
  <c r="I127" i="23" s="1"/>
  <c r="D233" i="22"/>
  <c r="I128" i="23" s="1"/>
  <c r="D247" i="22"/>
  <c r="D259" i="22"/>
  <c r="I139" i="23" s="1"/>
  <c r="D272" i="22"/>
  <c r="D303" i="22"/>
  <c r="D62" i="22"/>
  <c r="D208" i="22"/>
  <c r="I120" i="23" s="1"/>
  <c r="D8" i="22"/>
  <c r="I8" i="23" s="1"/>
  <c r="D14" i="22"/>
  <c r="I10" i="23" s="1"/>
  <c r="D58" i="22"/>
  <c r="I25" i="23" s="1"/>
  <c r="D38" i="22"/>
  <c r="E308" i="4"/>
  <c r="D308" i="4"/>
  <c r="E225" i="4"/>
  <c r="E251" i="4"/>
  <c r="D251" i="4"/>
  <c r="D225" i="4"/>
  <c r="C113" i="21" l="1"/>
  <c r="I171" i="23"/>
  <c r="I47" i="23"/>
  <c r="K166" i="23"/>
  <c r="L166" i="23" s="1"/>
  <c r="K158" i="23"/>
  <c r="K126" i="23"/>
  <c r="K146" i="23"/>
  <c r="L146" i="23" s="1"/>
  <c r="K157" i="23"/>
  <c r="L157" i="23" s="1"/>
  <c r="K89" i="23"/>
  <c r="D157" i="22"/>
  <c r="I77" i="23" s="1"/>
  <c r="K97" i="23"/>
  <c r="L97" i="23" s="1"/>
  <c r="J17" i="23"/>
  <c r="J13" i="23" s="1"/>
  <c r="K22" i="23"/>
  <c r="L22" i="23" s="1"/>
  <c r="E293" i="22"/>
  <c r="J149" i="23" s="1"/>
  <c r="K154" i="23"/>
  <c r="L154" i="23" s="1"/>
  <c r="L151" i="23"/>
  <c r="C32" i="21"/>
  <c r="L140" i="23"/>
  <c r="C28" i="21"/>
  <c r="L150" i="23"/>
  <c r="C107" i="21"/>
  <c r="L70" i="23"/>
  <c r="L153" i="23"/>
  <c r="C33" i="21"/>
  <c r="E157" i="22"/>
  <c r="J77" i="23" s="1"/>
  <c r="L137" i="23"/>
  <c r="C109" i="21"/>
  <c r="K128" i="23"/>
  <c r="L128" i="23" s="1"/>
  <c r="K145" i="23"/>
  <c r="L145" i="23" s="1"/>
  <c r="J40" i="23"/>
  <c r="K10" i="23"/>
  <c r="K9" i="23"/>
  <c r="L9" i="23" s="1"/>
  <c r="E85" i="22"/>
  <c r="K41" i="23"/>
  <c r="L67" i="23"/>
  <c r="C99" i="21"/>
  <c r="L76" i="23"/>
  <c r="C49" i="21"/>
  <c r="L43" i="23"/>
  <c r="C53" i="21"/>
  <c r="C98" i="21"/>
  <c r="L71" i="23"/>
  <c r="C46" i="21"/>
  <c r="K120" i="23"/>
  <c r="K148" i="23"/>
  <c r="L148" i="23" s="1"/>
  <c r="K138" i="23"/>
  <c r="L158" i="23"/>
  <c r="K142" i="23"/>
  <c r="L142" i="23" s="1"/>
  <c r="K25" i="23"/>
  <c r="L25" i="23" s="1"/>
  <c r="K75" i="23"/>
  <c r="L75" i="23" s="1"/>
  <c r="L110" i="23"/>
  <c r="L126" i="23"/>
  <c r="K21" i="23"/>
  <c r="L21" i="23" s="1"/>
  <c r="E308" i="22"/>
  <c r="L120" i="23"/>
  <c r="K133" i="23"/>
  <c r="L133" i="23" s="1"/>
  <c r="K24" i="23"/>
  <c r="L24" i="23" s="1"/>
  <c r="J111" i="23"/>
  <c r="K111" i="23" s="1"/>
  <c r="E190" i="22"/>
  <c r="K129" i="23"/>
  <c r="L129" i="23" s="1"/>
  <c r="K20" i="23"/>
  <c r="L20" i="23" s="1"/>
  <c r="K112" i="23"/>
  <c r="L112" i="23" s="1"/>
  <c r="J159" i="23"/>
  <c r="E121" i="22"/>
  <c r="K14" i="23"/>
  <c r="L14" i="23" s="1"/>
  <c r="D121" i="22"/>
  <c r="L41" i="23"/>
  <c r="E7" i="22"/>
  <c r="L10" i="23"/>
  <c r="J36" i="23"/>
  <c r="J7" i="23"/>
  <c r="J98" i="23"/>
  <c r="L89" i="23"/>
  <c r="K94" i="23"/>
  <c r="L94" i="23" s="1"/>
  <c r="K12" i="23"/>
  <c r="L12" i="23" s="1"/>
  <c r="D176" i="22"/>
  <c r="I88" i="23"/>
  <c r="K48" i="23"/>
  <c r="L48" i="23" s="1"/>
  <c r="J78" i="23"/>
  <c r="K78" i="23" s="1"/>
  <c r="K69" i="23"/>
  <c r="K79" i="23"/>
  <c r="L79" i="23" s="1"/>
  <c r="E71" i="22"/>
  <c r="D77" i="22"/>
  <c r="D71" i="22" s="1"/>
  <c r="I36" i="23"/>
  <c r="D85" i="22"/>
  <c r="I42" i="23"/>
  <c r="E176" i="22"/>
  <c r="J88" i="23"/>
  <c r="I141" i="23"/>
  <c r="J60" i="23"/>
  <c r="K61" i="23"/>
  <c r="L61" i="23" s="1"/>
  <c r="K68" i="23"/>
  <c r="I130" i="23"/>
  <c r="K127" i="23"/>
  <c r="L127" i="23" s="1"/>
  <c r="E214" i="22"/>
  <c r="J72" i="23"/>
  <c r="J66" i="23"/>
  <c r="E271" i="22"/>
  <c r="J134" i="23"/>
  <c r="K8" i="23"/>
  <c r="L8" i="23" s="1"/>
  <c r="I7" i="23"/>
  <c r="I159" i="23"/>
  <c r="K31" i="23"/>
  <c r="L31" i="23" s="1"/>
  <c r="J141" i="23"/>
  <c r="K132" i="23"/>
  <c r="L132" i="23" s="1"/>
  <c r="K19" i="23"/>
  <c r="L19" i="23" s="1"/>
  <c r="K163" i="23"/>
  <c r="L163" i="23" s="1"/>
  <c r="K119" i="23"/>
  <c r="L119" i="23" s="1"/>
  <c r="E38" i="22"/>
  <c r="E34" i="22" s="1"/>
  <c r="J29" i="23"/>
  <c r="K29" i="23" s="1"/>
  <c r="K23" i="23"/>
  <c r="L23" i="23" s="1"/>
  <c r="K139" i="23"/>
  <c r="J167" i="23"/>
  <c r="J130" i="23"/>
  <c r="K49" i="23"/>
  <c r="L49" i="23" s="1"/>
  <c r="D143" i="22"/>
  <c r="I73" i="23"/>
  <c r="I58" i="23"/>
  <c r="K81" i="23"/>
  <c r="L81" i="23" s="1"/>
  <c r="I13" i="23"/>
  <c r="K52" i="23"/>
  <c r="I123" i="23"/>
  <c r="J47" i="23"/>
  <c r="D293" i="22"/>
  <c r="I149" i="23" s="1"/>
  <c r="D308" i="22"/>
  <c r="D7" i="22"/>
  <c r="D214" i="22"/>
  <c r="D271" i="22"/>
  <c r="D190" i="22"/>
  <c r="D34" i="22"/>
  <c r="K272" i="2"/>
  <c r="L272" i="2"/>
  <c r="L271" i="2"/>
  <c r="K271" i="2"/>
  <c r="E69" i="4"/>
  <c r="D69" i="4"/>
  <c r="E68" i="4"/>
  <c r="D68" i="4"/>
  <c r="E84" i="4"/>
  <c r="D84" i="4"/>
  <c r="E234" i="4"/>
  <c r="D234" i="4"/>
  <c r="E201" i="4"/>
  <c r="D201" i="4"/>
  <c r="E271" i="4"/>
  <c r="D271" i="4"/>
  <c r="K159" i="23" l="1"/>
  <c r="J171" i="23"/>
  <c r="L111" i="23"/>
  <c r="E251" i="22"/>
  <c r="E316" i="22" s="1"/>
  <c r="C36" i="21"/>
  <c r="K17" i="23"/>
  <c r="L17" i="23" s="1"/>
  <c r="C34" i="21"/>
  <c r="K47" i="23"/>
  <c r="L47" i="23" s="1"/>
  <c r="K77" i="23"/>
  <c r="C50" i="21" s="1"/>
  <c r="E104" i="22"/>
  <c r="E84" i="22" s="1"/>
  <c r="L139" i="23"/>
  <c r="C27" i="21"/>
  <c r="L138" i="23"/>
  <c r="D104" i="22"/>
  <c r="D84" i="22" s="1"/>
  <c r="L69" i="23"/>
  <c r="C101" i="21"/>
  <c r="L52" i="23"/>
  <c r="C38" i="21"/>
  <c r="L68" i="23"/>
  <c r="C100" i="21"/>
  <c r="L159" i="23"/>
  <c r="J109" i="23"/>
  <c r="K109" i="23" s="1"/>
  <c r="I155" i="23"/>
  <c r="I161" i="23" s="1"/>
  <c r="K130" i="23"/>
  <c r="K7" i="23"/>
  <c r="L7" i="23" s="1"/>
  <c r="L78" i="23"/>
  <c r="J34" i="23"/>
  <c r="K98" i="23"/>
  <c r="L98" i="23" s="1"/>
  <c r="K36" i="23"/>
  <c r="L36" i="23" s="1"/>
  <c r="I34" i="23"/>
  <c r="I90" i="23"/>
  <c r="K88" i="23"/>
  <c r="C55" i="21" s="1"/>
  <c r="L29" i="23"/>
  <c r="E6" i="22"/>
  <c r="J90" i="23"/>
  <c r="K42" i="23"/>
  <c r="I40" i="23"/>
  <c r="K40" i="23" s="1"/>
  <c r="L40" i="23" s="1"/>
  <c r="K149" i="23"/>
  <c r="K167" i="23"/>
  <c r="L167" i="23" s="1"/>
  <c r="K66" i="23"/>
  <c r="L66" i="23" s="1"/>
  <c r="K134" i="23"/>
  <c r="L134" i="23" s="1"/>
  <c r="J155" i="23"/>
  <c r="K141" i="23"/>
  <c r="J59" i="23"/>
  <c r="K59" i="23" s="1"/>
  <c r="K60" i="23"/>
  <c r="L60" i="23" s="1"/>
  <c r="K73" i="23"/>
  <c r="L73" i="23" s="1"/>
  <c r="I72" i="23"/>
  <c r="I46" i="23" s="1"/>
  <c r="K13" i="23"/>
  <c r="L13" i="23" s="1"/>
  <c r="D6" i="22"/>
  <c r="D251" i="22"/>
  <c r="D316" i="22" s="1"/>
  <c r="L273" i="2"/>
  <c r="K273" i="2"/>
  <c r="E568" i="4"/>
  <c r="D568" i="4"/>
  <c r="D117" i="1" s="1"/>
  <c r="E567" i="4"/>
  <c r="D567" i="4"/>
  <c r="E566" i="4"/>
  <c r="D566" i="4"/>
  <c r="E564" i="4"/>
  <c r="D564" i="4"/>
  <c r="D115" i="1" s="1"/>
  <c r="E563" i="4"/>
  <c r="D563" i="4"/>
  <c r="D114" i="1" s="1"/>
  <c r="E562" i="4"/>
  <c r="D562" i="4"/>
  <c r="D113" i="1" s="1"/>
  <c r="E561" i="4"/>
  <c r="E112" i="1" s="1"/>
  <c r="D561" i="4"/>
  <c r="D112" i="1" s="1"/>
  <c r="E556" i="4"/>
  <c r="D556" i="4"/>
  <c r="E555" i="4"/>
  <c r="D555" i="4"/>
  <c r="E554" i="4"/>
  <c r="D554" i="4"/>
  <c r="E553" i="4"/>
  <c r="D553" i="4"/>
  <c r="E552" i="4"/>
  <c r="D552" i="4"/>
  <c r="E551" i="4"/>
  <c r="D551" i="4"/>
  <c r="E550" i="4"/>
  <c r="D550" i="4"/>
  <c r="E549" i="4"/>
  <c r="D549" i="4"/>
  <c r="E547" i="4"/>
  <c r="D547" i="4"/>
  <c r="E546" i="4"/>
  <c r="D546" i="4"/>
  <c r="E544" i="4"/>
  <c r="D544" i="4"/>
  <c r="E543" i="4"/>
  <c r="D543" i="4"/>
  <c r="E542" i="4"/>
  <c r="D542" i="4"/>
  <c r="E541" i="4"/>
  <c r="D541" i="4"/>
  <c r="E540" i="4"/>
  <c r="D540" i="4"/>
  <c r="E539" i="4"/>
  <c r="D539" i="4"/>
  <c r="E538" i="4"/>
  <c r="D538" i="4"/>
  <c r="E537" i="4"/>
  <c r="D537" i="4"/>
  <c r="E535" i="4"/>
  <c r="D535" i="4"/>
  <c r="E533" i="4"/>
  <c r="D533" i="4"/>
  <c r="E532" i="4"/>
  <c r="D532" i="4"/>
  <c r="E529" i="4"/>
  <c r="D529" i="4"/>
  <c r="E528" i="4"/>
  <c r="D528" i="4"/>
  <c r="E526" i="4"/>
  <c r="D526" i="4"/>
  <c r="D104" i="1" s="1"/>
  <c r="E524" i="4"/>
  <c r="D524" i="4"/>
  <c r="E523" i="4"/>
  <c r="D523" i="4"/>
  <c r="E522" i="4"/>
  <c r="D522" i="4"/>
  <c r="E521" i="4"/>
  <c r="D521" i="4"/>
  <c r="E520" i="4"/>
  <c r="D520" i="4"/>
  <c r="E519" i="4"/>
  <c r="D519" i="4"/>
  <c r="E518" i="4"/>
  <c r="D518" i="4"/>
  <c r="E517" i="4"/>
  <c r="D517" i="4"/>
  <c r="E515" i="4"/>
  <c r="D515" i="4"/>
  <c r="E513" i="4"/>
  <c r="D513" i="4"/>
  <c r="E512" i="4"/>
  <c r="D512" i="4"/>
  <c r="E511" i="4"/>
  <c r="D511" i="4"/>
  <c r="E510" i="4"/>
  <c r="D510" i="4"/>
  <c r="E509" i="4"/>
  <c r="D509" i="4"/>
  <c r="E508" i="4"/>
  <c r="D508" i="4"/>
  <c r="E507" i="4"/>
  <c r="D507" i="4"/>
  <c r="E505" i="4"/>
  <c r="D505" i="4"/>
  <c r="E504" i="4"/>
  <c r="D504" i="4"/>
  <c r="E502" i="4"/>
  <c r="D502" i="4"/>
  <c r="E500" i="4"/>
  <c r="D500" i="4"/>
  <c r="D101" i="1" s="1"/>
  <c r="E496" i="4"/>
  <c r="D496" i="4"/>
  <c r="D96" i="1" s="1"/>
  <c r="E495" i="4"/>
  <c r="E95" i="1" s="1"/>
  <c r="D495" i="4"/>
  <c r="D95" i="1" s="1"/>
  <c r="E492" i="4"/>
  <c r="D492" i="4"/>
  <c r="E491" i="4"/>
  <c r="D491" i="4"/>
  <c r="E489" i="4"/>
  <c r="D489" i="4"/>
  <c r="E488" i="4"/>
  <c r="D488" i="4"/>
  <c r="E487" i="4"/>
  <c r="D487" i="4"/>
  <c r="E485" i="4"/>
  <c r="D485" i="4"/>
  <c r="E484" i="4"/>
  <c r="D484" i="4"/>
  <c r="E483" i="4"/>
  <c r="D483" i="4"/>
  <c r="E482" i="4"/>
  <c r="D482" i="4"/>
  <c r="E481" i="4"/>
  <c r="D481" i="4"/>
  <c r="E479" i="4"/>
  <c r="D479" i="4"/>
  <c r="E478" i="4"/>
  <c r="D478" i="4"/>
  <c r="E477" i="4"/>
  <c r="D477" i="4"/>
  <c r="E473" i="4"/>
  <c r="D473" i="4"/>
  <c r="E472" i="4"/>
  <c r="D472" i="4"/>
  <c r="E471" i="4"/>
  <c r="D471" i="4"/>
  <c r="E470" i="4"/>
  <c r="D470" i="4"/>
  <c r="E469" i="4"/>
  <c r="D469" i="4"/>
  <c r="E468" i="4"/>
  <c r="D468" i="4"/>
  <c r="E467" i="4"/>
  <c r="D467" i="4"/>
  <c r="E466" i="4"/>
  <c r="D466" i="4"/>
  <c r="E465" i="4"/>
  <c r="D465" i="4"/>
  <c r="E464" i="4"/>
  <c r="D464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5" i="4"/>
  <c r="D455" i="4"/>
  <c r="D82" i="1" s="1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5" i="4"/>
  <c r="D445" i="4"/>
  <c r="E444" i="4"/>
  <c r="D444" i="4"/>
  <c r="E443" i="4"/>
  <c r="D443" i="4"/>
  <c r="E442" i="4"/>
  <c r="D442" i="4"/>
  <c r="E441" i="4"/>
  <c r="D441" i="4"/>
  <c r="E440" i="4"/>
  <c r="D440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28" i="4"/>
  <c r="D428" i="4"/>
  <c r="E427" i="4"/>
  <c r="D427" i="4"/>
  <c r="E425" i="4"/>
  <c r="D425" i="4"/>
  <c r="D75" i="1" s="1"/>
  <c r="E424" i="4"/>
  <c r="D424" i="4"/>
  <c r="E423" i="4"/>
  <c r="D423" i="4"/>
  <c r="E420" i="4"/>
  <c r="D420" i="4"/>
  <c r="D73" i="1" s="1"/>
  <c r="E418" i="4"/>
  <c r="D418" i="4"/>
  <c r="E417" i="4"/>
  <c r="D417" i="4"/>
  <c r="E416" i="4"/>
  <c r="D416" i="4"/>
  <c r="E415" i="4"/>
  <c r="D415" i="4"/>
  <c r="E413" i="4"/>
  <c r="D413" i="4"/>
  <c r="E412" i="4"/>
  <c r="D412" i="4"/>
  <c r="E410" i="4"/>
  <c r="D410" i="4"/>
  <c r="E409" i="4"/>
  <c r="D409" i="4"/>
  <c r="E408" i="4"/>
  <c r="D408" i="4"/>
  <c r="E406" i="4"/>
  <c r="D406" i="4"/>
  <c r="E405" i="4"/>
  <c r="D405" i="4"/>
  <c r="E404" i="4"/>
  <c r="D404" i="4"/>
  <c r="E401" i="4"/>
  <c r="D401" i="4"/>
  <c r="E400" i="4"/>
  <c r="D400" i="4"/>
  <c r="E399" i="4"/>
  <c r="D399" i="4"/>
  <c r="E397" i="4"/>
  <c r="D397" i="4"/>
  <c r="E396" i="4"/>
  <c r="D396" i="4"/>
  <c r="E395" i="4"/>
  <c r="D395" i="4"/>
  <c r="E392" i="4"/>
  <c r="D392" i="4"/>
  <c r="E391" i="4"/>
  <c r="D391" i="4"/>
  <c r="E390" i="4"/>
  <c r="D390" i="4"/>
  <c r="E388" i="4"/>
  <c r="D388" i="4"/>
  <c r="E387" i="4"/>
  <c r="D387" i="4"/>
  <c r="E386" i="4"/>
  <c r="D386" i="4"/>
  <c r="E383" i="4"/>
  <c r="D383" i="4"/>
  <c r="E382" i="4"/>
  <c r="D382" i="4"/>
  <c r="E381" i="4"/>
  <c r="D381" i="4"/>
  <c r="E379" i="4"/>
  <c r="D379" i="4"/>
  <c r="E378" i="4"/>
  <c r="D378" i="4"/>
  <c r="E377" i="4"/>
  <c r="D377" i="4"/>
  <c r="E375" i="4"/>
  <c r="D375" i="4"/>
  <c r="E374" i="4"/>
  <c r="D374" i="4"/>
  <c r="E373" i="4"/>
  <c r="D373" i="4"/>
  <c r="E368" i="4"/>
  <c r="D368" i="4"/>
  <c r="E367" i="4"/>
  <c r="D367" i="4"/>
  <c r="E366" i="4"/>
  <c r="D366" i="4"/>
  <c r="E365" i="4"/>
  <c r="D365" i="4"/>
  <c r="E363" i="4"/>
  <c r="D363" i="4"/>
  <c r="E362" i="4"/>
  <c r="D362" i="4"/>
  <c r="E360" i="4"/>
  <c r="D360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0" i="4"/>
  <c r="D350" i="4"/>
  <c r="E349" i="4"/>
  <c r="D349" i="4"/>
  <c r="E347" i="4"/>
  <c r="D347" i="4"/>
  <c r="E346" i="4"/>
  <c r="D346" i="4"/>
  <c r="E345" i="4"/>
  <c r="D345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E336" i="4"/>
  <c r="D336" i="4"/>
  <c r="E335" i="4"/>
  <c r="D335" i="4"/>
  <c r="E333" i="4"/>
  <c r="D333" i="4"/>
  <c r="E332" i="4"/>
  <c r="D332" i="4"/>
  <c r="E331" i="4"/>
  <c r="D331" i="4"/>
  <c r="E329" i="4"/>
  <c r="D329" i="4"/>
  <c r="E328" i="4"/>
  <c r="D328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6" i="4"/>
  <c r="D316" i="4"/>
  <c r="E315" i="4"/>
  <c r="D315" i="4"/>
  <c r="E312" i="4"/>
  <c r="E58" i="1" s="1"/>
  <c r="D312" i="4"/>
  <c r="D58" i="1" s="1"/>
  <c r="E311" i="4"/>
  <c r="D311" i="4"/>
  <c r="E310" i="4"/>
  <c r="D310" i="4"/>
  <c r="E309" i="4"/>
  <c r="D309" i="4"/>
  <c r="E307" i="4"/>
  <c r="D307" i="4"/>
  <c r="E306" i="4"/>
  <c r="D306" i="4"/>
  <c r="E305" i="4"/>
  <c r="D305" i="4"/>
  <c r="E303" i="4"/>
  <c r="D303" i="4"/>
  <c r="E302" i="4"/>
  <c r="D302" i="4"/>
  <c r="E301" i="4"/>
  <c r="D301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2" i="4"/>
  <c r="D292" i="4"/>
  <c r="E291" i="4"/>
  <c r="D291" i="4"/>
  <c r="E289" i="4"/>
  <c r="D289" i="4"/>
  <c r="E288" i="4"/>
  <c r="D288" i="4"/>
  <c r="E287" i="4"/>
  <c r="D287" i="4"/>
  <c r="E286" i="4"/>
  <c r="D286" i="4"/>
  <c r="E285" i="4"/>
  <c r="D285" i="4"/>
  <c r="E284" i="4"/>
  <c r="D284" i="4"/>
  <c r="E283" i="4"/>
  <c r="D283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3" i="4"/>
  <c r="D273" i="4"/>
  <c r="E272" i="4"/>
  <c r="D272" i="4"/>
  <c r="E270" i="4"/>
  <c r="D270" i="4"/>
  <c r="E269" i="4"/>
  <c r="D269" i="4"/>
  <c r="E268" i="4"/>
  <c r="D268" i="4"/>
  <c r="E267" i="4"/>
  <c r="D267" i="4"/>
  <c r="E264" i="4"/>
  <c r="D264" i="4"/>
  <c r="E263" i="4"/>
  <c r="D263" i="4"/>
  <c r="E262" i="4"/>
  <c r="D262" i="4"/>
  <c r="E261" i="4"/>
  <c r="D261" i="4"/>
  <c r="E259" i="4"/>
  <c r="D259" i="4"/>
  <c r="E258" i="4"/>
  <c r="D258" i="4"/>
  <c r="E257" i="4"/>
  <c r="D257" i="4"/>
  <c r="E256" i="4"/>
  <c r="D256" i="4"/>
  <c r="E255" i="4"/>
  <c r="D255" i="4"/>
  <c r="E253" i="4"/>
  <c r="D253" i="4"/>
  <c r="E252" i="4"/>
  <c r="D252" i="4"/>
  <c r="E250" i="4"/>
  <c r="D250" i="4"/>
  <c r="E249" i="4"/>
  <c r="D249" i="4"/>
  <c r="E248" i="4"/>
  <c r="D248" i="4"/>
  <c r="E246" i="4"/>
  <c r="D246" i="4"/>
  <c r="E245" i="4"/>
  <c r="D245" i="4"/>
  <c r="E244" i="4"/>
  <c r="D244" i="4"/>
  <c r="E243" i="4"/>
  <c r="D243" i="4"/>
  <c r="E242" i="4"/>
  <c r="D242" i="4"/>
  <c r="E240" i="4"/>
  <c r="D240" i="4"/>
  <c r="E239" i="4"/>
  <c r="D239" i="4"/>
  <c r="E238" i="4"/>
  <c r="D238" i="4"/>
  <c r="E237" i="4"/>
  <c r="D237" i="4"/>
  <c r="E236" i="4"/>
  <c r="D236" i="4"/>
  <c r="E233" i="4"/>
  <c r="D233" i="4"/>
  <c r="E232" i="4"/>
  <c r="D232" i="4"/>
  <c r="E230" i="4"/>
  <c r="D230" i="4"/>
  <c r="E229" i="4"/>
  <c r="D229" i="4"/>
  <c r="E228" i="4"/>
  <c r="D228" i="4"/>
  <c r="E227" i="4"/>
  <c r="D227" i="4"/>
  <c r="E224" i="4"/>
  <c r="D224" i="4"/>
  <c r="E223" i="4"/>
  <c r="D223" i="4"/>
  <c r="E222" i="4"/>
  <c r="D222" i="4"/>
  <c r="E220" i="4"/>
  <c r="D220" i="4"/>
  <c r="E219" i="4"/>
  <c r="D219" i="4"/>
  <c r="E218" i="4"/>
  <c r="D218" i="4"/>
  <c r="E217" i="4"/>
  <c r="D217" i="4"/>
  <c r="E216" i="4"/>
  <c r="D216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3" i="4"/>
  <c r="D203" i="4"/>
  <c r="E202" i="4"/>
  <c r="D202" i="4"/>
  <c r="E200" i="4"/>
  <c r="D200" i="4"/>
  <c r="E199" i="4"/>
  <c r="D199" i="4"/>
  <c r="E198" i="4"/>
  <c r="D198" i="4"/>
  <c r="E197" i="4"/>
  <c r="D197" i="4"/>
  <c r="E195" i="4"/>
  <c r="D195" i="4"/>
  <c r="E194" i="4"/>
  <c r="D194" i="4"/>
  <c r="E193" i="4"/>
  <c r="D193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6" i="4"/>
  <c r="D166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5" i="4"/>
  <c r="D155" i="4"/>
  <c r="E154" i="4"/>
  <c r="D154" i="4"/>
  <c r="E153" i="4"/>
  <c r="D153" i="4"/>
  <c r="E151" i="4"/>
  <c r="D151" i="4"/>
  <c r="E150" i="4"/>
  <c r="D150" i="4"/>
  <c r="E149" i="4"/>
  <c r="D149" i="4"/>
  <c r="E147" i="4"/>
  <c r="D147" i="4"/>
  <c r="E146" i="4"/>
  <c r="D146" i="4"/>
  <c r="E145" i="4"/>
  <c r="D145" i="4"/>
  <c r="E139" i="4"/>
  <c r="D139" i="4"/>
  <c r="E138" i="4"/>
  <c r="D138" i="4"/>
  <c r="E137" i="4"/>
  <c r="D137" i="4"/>
  <c r="E135" i="4"/>
  <c r="D135" i="4"/>
  <c r="D33" i="1" s="1"/>
  <c r="E134" i="4"/>
  <c r="D134" i="4"/>
  <c r="E133" i="4"/>
  <c r="D133" i="4"/>
  <c r="E132" i="4"/>
  <c r="D132" i="4"/>
  <c r="E131" i="4"/>
  <c r="D131" i="4"/>
  <c r="E130" i="4"/>
  <c r="D130" i="4"/>
  <c r="E129" i="4"/>
  <c r="D129" i="4"/>
  <c r="E127" i="4"/>
  <c r="D127" i="4"/>
  <c r="E126" i="4"/>
  <c r="D126" i="4"/>
  <c r="E125" i="4"/>
  <c r="D125" i="4"/>
  <c r="E123" i="4"/>
  <c r="D123" i="4"/>
  <c r="E122" i="4"/>
  <c r="D122" i="4"/>
  <c r="E121" i="4"/>
  <c r="D121" i="4"/>
  <c r="E120" i="4"/>
  <c r="D120" i="4"/>
  <c r="E119" i="4"/>
  <c r="D119" i="4"/>
  <c r="E116" i="4"/>
  <c r="D116" i="4"/>
  <c r="E115" i="4"/>
  <c r="D115" i="4"/>
  <c r="E114" i="4"/>
  <c r="D114" i="4"/>
  <c r="E112" i="4"/>
  <c r="D112" i="4"/>
  <c r="E111" i="4"/>
  <c r="D111" i="4"/>
  <c r="E110" i="4"/>
  <c r="D110" i="4"/>
  <c r="E109" i="4"/>
  <c r="D109" i="4"/>
  <c r="E107" i="4"/>
  <c r="D107" i="4"/>
  <c r="E106" i="4"/>
  <c r="D106" i="4"/>
  <c r="E104" i="4"/>
  <c r="D104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4" i="4"/>
  <c r="D94" i="4"/>
  <c r="E93" i="4"/>
  <c r="D93" i="4"/>
  <c r="E92" i="4"/>
  <c r="D92" i="4"/>
  <c r="E91" i="4"/>
  <c r="D91" i="4"/>
  <c r="E90" i="4"/>
  <c r="D90" i="4"/>
  <c r="E89" i="4"/>
  <c r="D89" i="4"/>
  <c r="E87" i="4"/>
  <c r="D87" i="4"/>
  <c r="E86" i="4"/>
  <c r="D86" i="4"/>
  <c r="E85" i="4"/>
  <c r="D85" i="4"/>
  <c r="E83" i="4"/>
  <c r="D83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47" i="4"/>
  <c r="D47" i="4"/>
  <c r="E46" i="4"/>
  <c r="D46" i="4"/>
  <c r="E45" i="4"/>
  <c r="D45" i="4"/>
  <c r="E44" i="4"/>
  <c r="D44" i="4"/>
  <c r="E43" i="4"/>
  <c r="D43" i="4"/>
  <c r="E41" i="4"/>
  <c r="D41" i="4"/>
  <c r="E40" i="4"/>
  <c r="D40" i="4"/>
  <c r="E38" i="4"/>
  <c r="E23" i="1" s="1"/>
  <c r="D38" i="4"/>
  <c r="D23" i="1" s="1"/>
  <c r="E37" i="4"/>
  <c r="D37" i="4"/>
  <c r="D22" i="1" s="1"/>
  <c r="E36" i="4"/>
  <c r="E21" i="1" s="1"/>
  <c r="D36" i="4"/>
  <c r="D21" i="1" s="1"/>
  <c r="E35" i="4"/>
  <c r="E20" i="1" s="1"/>
  <c r="D35" i="4"/>
  <c r="D20" i="1" s="1"/>
  <c r="E34" i="4"/>
  <c r="E19" i="1" s="1"/>
  <c r="D34" i="4"/>
  <c r="D19" i="1" s="1"/>
  <c r="E32" i="4"/>
  <c r="D32" i="4"/>
  <c r="E31" i="4"/>
  <c r="D31" i="4"/>
  <c r="E30" i="4"/>
  <c r="D30" i="4"/>
  <c r="E29" i="4"/>
  <c r="D29" i="4"/>
  <c r="E28" i="4"/>
  <c r="D28" i="4"/>
  <c r="E26" i="4"/>
  <c r="D26" i="4"/>
  <c r="E25" i="4"/>
  <c r="D25" i="4"/>
  <c r="E23" i="4"/>
  <c r="E15" i="1" s="1"/>
  <c r="D23" i="4"/>
  <c r="D15" i="1" s="1"/>
  <c r="E22" i="4"/>
  <c r="D22" i="4"/>
  <c r="D14" i="1" s="1"/>
  <c r="E21" i="4"/>
  <c r="D21" i="4"/>
  <c r="D13" i="1" s="1"/>
  <c r="E20" i="4"/>
  <c r="E12" i="1" s="1"/>
  <c r="D20" i="4"/>
  <c r="D12" i="1" s="1"/>
  <c r="E17" i="4"/>
  <c r="D17" i="4"/>
  <c r="E16" i="4"/>
  <c r="D16" i="4"/>
  <c r="E15" i="4"/>
  <c r="D15" i="4"/>
  <c r="E14" i="4"/>
  <c r="D14" i="4"/>
  <c r="E12" i="4"/>
  <c r="D12" i="4"/>
  <c r="E11" i="4"/>
  <c r="D11" i="4"/>
  <c r="C103" i="21" l="1"/>
  <c r="L77" i="23"/>
  <c r="E183" i="22"/>
  <c r="F21" i="1"/>
  <c r="G21" i="1" s="1"/>
  <c r="F95" i="1"/>
  <c r="F15" i="1"/>
  <c r="F19" i="1"/>
  <c r="G19" i="1" s="1"/>
  <c r="F23" i="1"/>
  <c r="G23" i="1" s="1"/>
  <c r="F12" i="1"/>
  <c r="G12" i="1" s="1"/>
  <c r="F20" i="1"/>
  <c r="G20" i="1" s="1"/>
  <c r="F58" i="1"/>
  <c r="F112" i="1"/>
  <c r="G112" i="1" s="1"/>
  <c r="D183" i="22"/>
  <c r="L149" i="23"/>
  <c r="C31" i="21"/>
  <c r="L141" i="23"/>
  <c r="C29" i="21"/>
  <c r="J123" i="23"/>
  <c r="J161" i="23" s="1"/>
  <c r="K161" i="23" s="1"/>
  <c r="L161" i="23" s="1"/>
  <c r="L130" i="23"/>
  <c r="C23" i="21"/>
  <c r="L88" i="23"/>
  <c r="L42" i="23"/>
  <c r="C52" i="21"/>
  <c r="C54" i="21" s="1"/>
  <c r="L109" i="23"/>
  <c r="J28" i="23"/>
  <c r="K90" i="23"/>
  <c r="L90" i="23" s="1"/>
  <c r="K34" i="23"/>
  <c r="L34" i="23" s="1"/>
  <c r="I28" i="23"/>
  <c r="J58" i="23"/>
  <c r="J46" i="23" s="1"/>
  <c r="K46" i="23" s="1"/>
  <c r="K155" i="23"/>
  <c r="L155" i="23" s="1"/>
  <c r="I86" i="23"/>
  <c r="K72" i="23"/>
  <c r="D105" i="4"/>
  <c r="D136" i="4"/>
  <c r="D34" i="1" s="1"/>
  <c r="E128" i="4"/>
  <c r="E32" i="1" s="1"/>
  <c r="D118" i="4"/>
  <c r="D117" i="4" s="1"/>
  <c r="E124" i="4"/>
  <c r="E136" i="4"/>
  <c r="E13" i="1"/>
  <c r="F13" i="1" s="1"/>
  <c r="E101" i="1"/>
  <c r="F101" i="1" s="1"/>
  <c r="E14" i="1"/>
  <c r="F14" i="1" s="1"/>
  <c r="E22" i="1"/>
  <c r="E18" i="1" s="1"/>
  <c r="E108" i="4"/>
  <c r="E33" i="1"/>
  <c r="F33" i="1" s="1"/>
  <c r="E42" i="4"/>
  <c r="E50" i="4"/>
  <c r="D113" i="4"/>
  <c r="D13" i="4"/>
  <c r="D10" i="4" s="1"/>
  <c r="D9" i="4" s="1"/>
  <c r="D10" i="1" s="1"/>
  <c r="E13" i="4"/>
  <c r="E10" i="4" s="1"/>
  <c r="D327" i="4"/>
  <c r="E165" i="4"/>
  <c r="E282" i="4"/>
  <c r="D344" i="4"/>
  <c r="D174" i="4"/>
  <c r="D40" i="1" s="1"/>
  <c r="D185" i="4"/>
  <c r="D184" i="4" s="1"/>
  <c r="D42" i="1" s="1"/>
  <c r="E254" i="4"/>
  <c r="E330" i="4"/>
  <c r="D447" i="4"/>
  <c r="D81" i="1" s="1"/>
  <c r="D463" i="4"/>
  <c r="D84" i="1" s="1"/>
  <c r="E380" i="4"/>
  <c r="E96" i="1"/>
  <c r="F96" i="1" s="1"/>
  <c r="E115" i="1"/>
  <c r="F115" i="1" s="1"/>
  <c r="D266" i="4"/>
  <c r="D265" i="4" s="1"/>
  <c r="D53" i="1" s="1"/>
  <c r="D439" i="4"/>
  <c r="D79" i="1" s="1"/>
  <c r="D111" i="1"/>
  <c r="D152" i="4"/>
  <c r="E364" i="4"/>
  <c r="E376" i="4"/>
  <c r="F75" i="1"/>
  <c r="G75" i="1" s="1"/>
  <c r="E82" i="1"/>
  <c r="F82" i="1" s="1"/>
  <c r="E104" i="1"/>
  <c r="F104" i="1" s="1"/>
  <c r="E531" i="4"/>
  <c r="E565" i="4"/>
  <c r="E304" i="4"/>
  <c r="E344" i="4"/>
  <c r="E113" i="1"/>
  <c r="F113" i="1" s="1"/>
  <c r="G113" i="1" s="1"/>
  <c r="D330" i="4"/>
  <c r="D385" i="4"/>
  <c r="E73" i="1"/>
  <c r="F73" i="1" s="1"/>
  <c r="G73" i="1" s="1"/>
  <c r="E497" i="4"/>
  <c r="E114" i="1"/>
  <c r="F114" i="1" s="1"/>
  <c r="G114" i="1" s="1"/>
  <c r="E117" i="1"/>
  <c r="F117" i="1" s="1"/>
  <c r="D97" i="1"/>
  <c r="D18" i="1"/>
  <c r="E97" i="1"/>
  <c r="E88" i="4"/>
  <c r="D108" i="4"/>
  <c r="E156" i="4"/>
  <c r="D215" i="4"/>
  <c r="D45" i="1" s="1"/>
  <c r="D254" i="4"/>
  <c r="D51" i="1" s="1"/>
  <c r="E407" i="4"/>
  <c r="E430" i="4"/>
  <c r="E560" i="4"/>
  <c r="D50" i="4"/>
  <c r="E235" i="4"/>
  <c r="E231" i="4" s="1"/>
  <c r="D403" i="4"/>
  <c r="D407" i="4"/>
  <c r="D414" i="4"/>
  <c r="D411" i="4" s="1"/>
  <c r="D71" i="1" s="1"/>
  <c r="D426" i="4"/>
  <c r="D76" i="1" s="1"/>
  <c r="D560" i="4"/>
  <c r="E113" i="4"/>
  <c r="D235" i="4"/>
  <c r="D231" i="4" s="1"/>
  <c r="D48" i="1" s="1"/>
  <c r="E372" i="4"/>
  <c r="E385" i="4"/>
  <c r="E403" i="4"/>
  <c r="E506" i="4"/>
  <c r="E516" i="4"/>
  <c r="E548" i="4"/>
  <c r="E545" i="4" s="1"/>
  <c r="D33" i="4"/>
  <c r="E226" i="4"/>
  <c r="E266" i="4"/>
  <c r="D380" i="4"/>
  <c r="D68" i="1" s="1"/>
  <c r="D398" i="4"/>
  <c r="E456" i="4"/>
  <c r="D506" i="4"/>
  <c r="D503" i="4" s="1"/>
  <c r="D516" i="4"/>
  <c r="D514" i="4" s="1"/>
  <c r="E19" i="4"/>
  <c r="E39" i="4"/>
  <c r="D221" i="4"/>
  <c r="D46" i="1" s="1"/>
  <c r="D247" i="4"/>
  <c r="D50" i="1" s="1"/>
  <c r="D348" i="4"/>
  <c r="D62" i="1" s="1"/>
  <c r="D351" i="4"/>
  <c r="D63" i="1" s="1"/>
  <c r="D376" i="4"/>
  <c r="D67" i="1" s="1"/>
  <c r="E486" i="4"/>
  <c r="D19" i="4"/>
  <c r="D82" i="4"/>
  <c r="D67" i="4" s="1"/>
  <c r="D49" i="4" s="1"/>
  <c r="E105" i="4"/>
  <c r="E174" i="4"/>
  <c r="E185" i="4"/>
  <c r="E274" i="4"/>
  <c r="D300" i="4"/>
  <c r="E348" i="4"/>
  <c r="D364" i="4"/>
  <c r="D476" i="4"/>
  <c r="D480" i="4"/>
  <c r="D486" i="4"/>
  <c r="D497" i="4"/>
  <c r="D24" i="4"/>
  <c r="D16" i="1" s="1"/>
  <c r="E33" i="4"/>
  <c r="E82" i="4"/>
  <c r="D88" i="4"/>
  <c r="D29" i="1" s="1"/>
  <c r="D148" i="4"/>
  <c r="D144" i="4" s="1"/>
  <c r="D204" i="4"/>
  <c r="D196" i="4" s="1"/>
  <c r="D44" i="1" s="1"/>
  <c r="E221" i="4"/>
  <c r="D226" i="4"/>
  <c r="D47" i="1" s="1"/>
  <c r="D361" i="4"/>
  <c r="D389" i="4"/>
  <c r="E439" i="4"/>
  <c r="E476" i="4"/>
  <c r="D490" i="4"/>
  <c r="E24" i="4"/>
  <c r="D39" i="4"/>
  <c r="D24" i="1" s="1"/>
  <c r="D128" i="4"/>
  <c r="D32" i="1" s="1"/>
  <c r="D165" i="4"/>
  <c r="E204" i="4"/>
  <c r="E196" i="4" s="1"/>
  <c r="E241" i="4"/>
  <c r="D282" i="4"/>
  <c r="D55" i="1" s="1"/>
  <c r="E463" i="4"/>
  <c r="D548" i="4"/>
  <c r="D545" i="4" s="1"/>
  <c r="E118" i="4"/>
  <c r="D124" i="4"/>
  <c r="D31" i="1" s="1"/>
  <c r="D156" i="4"/>
  <c r="D192" i="4"/>
  <c r="D43" i="1" s="1"/>
  <c r="D241" i="4"/>
  <c r="D49" i="1" s="1"/>
  <c r="D260" i="4"/>
  <c r="D52" i="1" s="1"/>
  <c r="D274" i="4"/>
  <c r="D54" i="1" s="1"/>
  <c r="E300" i="4"/>
  <c r="E317" i="4"/>
  <c r="D372" i="4"/>
  <c r="D394" i="4"/>
  <c r="D422" i="4"/>
  <c r="D565" i="4"/>
  <c r="E27" i="4"/>
  <c r="E95" i="4"/>
  <c r="E152" i="4"/>
  <c r="D317" i="4"/>
  <c r="E398" i="4"/>
  <c r="E414" i="4"/>
  <c r="E426" i="4"/>
  <c r="E447" i="4"/>
  <c r="D456" i="4"/>
  <c r="D83" i="1" s="1"/>
  <c r="D27" i="4"/>
  <c r="D17" i="1" s="1"/>
  <c r="D42" i="4"/>
  <c r="D25" i="1" s="1"/>
  <c r="D95" i="4"/>
  <c r="D28" i="1" s="1"/>
  <c r="E215" i="4"/>
  <c r="E247" i="4"/>
  <c r="E293" i="4"/>
  <c r="E337" i="4"/>
  <c r="D430" i="4"/>
  <c r="E536" i="4"/>
  <c r="E148" i="4"/>
  <c r="E192" i="4"/>
  <c r="E260" i="4"/>
  <c r="D293" i="4"/>
  <c r="D304" i="4"/>
  <c r="D57" i="1" s="1"/>
  <c r="E327" i="4"/>
  <c r="D337" i="4"/>
  <c r="D334" i="4" s="1"/>
  <c r="D61" i="1" s="1"/>
  <c r="E351" i="4"/>
  <c r="E361" i="4"/>
  <c r="E389" i="4"/>
  <c r="E394" i="4"/>
  <c r="E422" i="4"/>
  <c r="E480" i="4"/>
  <c r="E490" i="4"/>
  <c r="D531" i="4"/>
  <c r="D536" i="4"/>
  <c r="D534" i="4" s="1"/>
  <c r="C24" i="21" l="1"/>
  <c r="C25" i="21" s="1"/>
  <c r="C35" i="21"/>
  <c r="F18" i="1"/>
  <c r="G18" i="1" s="1"/>
  <c r="F55" i="1"/>
  <c r="G55" i="1" s="1"/>
  <c r="F22" i="1"/>
  <c r="G22" i="1" s="1"/>
  <c r="F32" i="1"/>
  <c r="G32" i="1" s="1"/>
  <c r="F97" i="1"/>
  <c r="K123" i="23"/>
  <c r="C105" i="21" s="1"/>
  <c r="C106" i="21" s="1"/>
  <c r="C110" i="21" s="1"/>
  <c r="L59" i="23"/>
  <c r="L72" i="23"/>
  <c r="C47" i="21"/>
  <c r="J37" i="23"/>
  <c r="K28" i="23"/>
  <c r="L28" i="23" s="1"/>
  <c r="I37" i="23"/>
  <c r="K58" i="23"/>
  <c r="D91" i="1"/>
  <c r="D90" i="1"/>
  <c r="D11" i="1"/>
  <c r="D501" i="4"/>
  <c r="D499" i="4" s="1"/>
  <c r="E31" i="1"/>
  <c r="F31" i="1" s="1"/>
  <c r="G31" i="1" s="1"/>
  <c r="E67" i="4"/>
  <c r="E9" i="4"/>
  <c r="E29" i="1"/>
  <c r="F29" i="1" s="1"/>
  <c r="G29" i="1" s="1"/>
  <c r="D103" i="4"/>
  <c r="D30" i="1" s="1"/>
  <c r="E117" i="4"/>
  <c r="E103" i="4" s="1"/>
  <c r="E16" i="1"/>
  <c r="F16" i="1" s="1"/>
  <c r="E503" i="4"/>
  <c r="E514" i="4"/>
  <c r="E28" i="1"/>
  <c r="F28" i="1" s="1"/>
  <c r="G28" i="1" s="1"/>
  <c r="E25" i="1"/>
  <c r="F25" i="1" s="1"/>
  <c r="G25" i="1" s="1"/>
  <c r="E34" i="1"/>
  <c r="F34" i="1" s="1"/>
  <c r="G34" i="1" s="1"/>
  <c r="E17" i="1"/>
  <c r="F17" i="1" s="1"/>
  <c r="G17" i="1" s="1"/>
  <c r="E90" i="1"/>
  <c r="D48" i="4"/>
  <c r="D27" i="1"/>
  <c r="E24" i="1"/>
  <c r="F24" i="1" s="1"/>
  <c r="G24" i="1" s="1"/>
  <c r="D359" i="4"/>
  <c r="D64" i="1" s="1"/>
  <c r="D314" i="4"/>
  <c r="D313" i="4" s="1"/>
  <c r="D446" i="4"/>
  <c r="D69" i="1"/>
  <c r="D80" i="1"/>
  <c r="E314" i="4"/>
  <c r="E60" i="1" s="1"/>
  <c r="D290" i="4"/>
  <c r="D56" i="1" s="1"/>
  <c r="E46" i="1"/>
  <c r="F46" i="1" s="1"/>
  <c r="E40" i="1"/>
  <c r="F40" i="1" s="1"/>
  <c r="G40" i="1" s="1"/>
  <c r="E184" i="4"/>
  <c r="E78" i="1"/>
  <c r="E429" i="4"/>
  <c r="E83" i="1"/>
  <c r="F83" i="1" s="1"/>
  <c r="G83" i="1" s="1"/>
  <c r="E44" i="1"/>
  <c r="F44" i="1" s="1"/>
  <c r="G44" i="1" s="1"/>
  <c r="D421" i="4"/>
  <c r="D419" i="4" s="1"/>
  <c r="D74" i="1"/>
  <c r="E49" i="1"/>
  <c r="F49" i="1" s="1"/>
  <c r="E50" i="1"/>
  <c r="F50" i="1" s="1"/>
  <c r="E334" i="4"/>
  <c r="D569" i="4"/>
  <c r="D116" i="1"/>
  <c r="E69" i="1"/>
  <c r="E290" i="4"/>
  <c r="E111" i="1"/>
  <c r="F111" i="1" s="1"/>
  <c r="G111" i="1" s="1"/>
  <c r="E446" i="4"/>
  <c r="E81" i="1"/>
  <c r="F81" i="1" s="1"/>
  <c r="G81" i="1" s="1"/>
  <c r="E116" i="1"/>
  <c r="E493" i="4"/>
  <c r="E76" i="1"/>
  <c r="F76" i="1" s="1"/>
  <c r="G76" i="1" s="1"/>
  <c r="E402" i="4"/>
  <c r="E421" i="4"/>
  <c r="E74" i="1"/>
  <c r="E72" i="1" s="1"/>
  <c r="E411" i="4"/>
  <c r="E51" i="1"/>
  <c r="F51" i="1" s="1"/>
  <c r="E48" i="1"/>
  <c r="F48" i="1" s="1"/>
  <c r="E393" i="4"/>
  <c r="E52" i="1"/>
  <c r="F52" i="1" s="1"/>
  <c r="G52" i="1" s="1"/>
  <c r="E45" i="1"/>
  <c r="F45" i="1" s="1"/>
  <c r="D393" i="4"/>
  <c r="E265" i="4"/>
  <c r="E371" i="4"/>
  <c r="E66" i="1"/>
  <c r="E57" i="1"/>
  <c r="F57" i="1" s="1"/>
  <c r="G57" i="1" s="1"/>
  <c r="E67" i="1"/>
  <c r="F67" i="1" s="1"/>
  <c r="G67" i="1" s="1"/>
  <c r="E384" i="4"/>
  <c r="E70" i="1"/>
  <c r="E43" i="1"/>
  <c r="F43" i="1" s="1"/>
  <c r="D371" i="4"/>
  <c r="D370" i="4" s="1"/>
  <c r="D66" i="1"/>
  <c r="E79" i="1"/>
  <c r="F79" i="1" s="1"/>
  <c r="G79" i="1" s="1"/>
  <c r="E47" i="1"/>
  <c r="F47" i="1" s="1"/>
  <c r="D402" i="4"/>
  <c r="E359" i="4"/>
  <c r="E144" i="4"/>
  <c r="D384" i="4"/>
  <c r="D70" i="1"/>
  <c r="E62" i="1"/>
  <c r="F62" i="1" s="1"/>
  <c r="G62" i="1" s="1"/>
  <c r="E91" i="1"/>
  <c r="F63" i="1"/>
  <c r="G63" i="1" s="1"/>
  <c r="E534" i="4"/>
  <c r="E68" i="1"/>
  <c r="F68" i="1" s="1"/>
  <c r="G68" i="1" s="1"/>
  <c r="D429" i="4"/>
  <c r="D78" i="1"/>
  <c r="E84" i="1"/>
  <c r="F84" i="1" s="1"/>
  <c r="G84" i="1" s="1"/>
  <c r="E54" i="1"/>
  <c r="F54" i="1" s="1"/>
  <c r="G54" i="1" s="1"/>
  <c r="E569" i="4"/>
  <c r="D18" i="4"/>
  <c r="D8" i="4" s="1"/>
  <c r="D493" i="4"/>
  <c r="D143" i="4"/>
  <c r="E18" i="4"/>
  <c r="D530" i="4"/>
  <c r="D527" i="4" s="1"/>
  <c r="L58" i="23" l="1"/>
  <c r="C45" i="21"/>
  <c r="C51" i="21" s="1"/>
  <c r="C56" i="21" s="1"/>
  <c r="C112" i="21" s="1"/>
  <c r="F90" i="1"/>
  <c r="G90" i="1" s="1"/>
  <c r="D9" i="1"/>
  <c r="D26" i="1"/>
  <c r="F69" i="1"/>
  <c r="G69" i="1" s="1"/>
  <c r="F70" i="1"/>
  <c r="G70" i="1" s="1"/>
  <c r="F91" i="1"/>
  <c r="D118" i="1"/>
  <c r="F116" i="1"/>
  <c r="G116" i="1" s="1"/>
  <c r="D72" i="1"/>
  <c r="F72" i="1" s="1"/>
  <c r="G72" i="1" s="1"/>
  <c r="F74" i="1"/>
  <c r="G74" i="1" s="1"/>
  <c r="D77" i="1"/>
  <c r="F78" i="1"/>
  <c r="G78" i="1" s="1"/>
  <c r="D41" i="1"/>
  <c r="F66" i="1"/>
  <c r="G66" i="1" s="1"/>
  <c r="L123" i="23"/>
  <c r="K37" i="23"/>
  <c r="I92" i="23"/>
  <c r="I169" i="23" s="1"/>
  <c r="L46" i="23"/>
  <c r="J86" i="23"/>
  <c r="D92" i="1"/>
  <c r="D140" i="4"/>
  <c r="D102" i="1"/>
  <c r="E10" i="1"/>
  <c r="F10" i="1" s="1"/>
  <c r="G10" i="1" s="1"/>
  <c r="E8" i="4"/>
  <c r="E501" i="4"/>
  <c r="E49" i="4"/>
  <c r="E30" i="1"/>
  <c r="F30" i="1" s="1"/>
  <c r="G30" i="1" s="1"/>
  <c r="E11" i="1"/>
  <c r="F11" i="1" s="1"/>
  <c r="G11" i="1" s="1"/>
  <c r="D60" i="1"/>
  <c r="E313" i="4"/>
  <c r="D183" i="4"/>
  <c r="D182" i="4" s="1"/>
  <c r="D369" i="4"/>
  <c r="D65" i="1"/>
  <c r="D142" i="4"/>
  <c r="D39" i="1"/>
  <c r="E77" i="1"/>
  <c r="E370" i="4"/>
  <c r="E118" i="1"/>
  <c r="E61" i="1"/>
  <c r="E530" i="4"/>
  <c r="E143" i="4"/>
  <c r="E42" i="1"/>
  <c r="F42" i="1" s="1"/>
  <c r="E71" i="1"/>
  <c r="F71" i="1" s="1"/>
  <c r="G71" i="1" s="1"/>
  <c r="D525" i="4"/>
  <c r="D557" i="4" s="1"/>
  <c r="D105" i="1"/>
  <c r="E65" i="1"/>
  <c r="E56" i="1"/>
  <c r="F56" i="1" s="1"/>
  <c r="G56" i="1" s="1"/>
  <c r="E183" i="4"/>
  <c r="E53" i="1"/>
  <c r="F53" i="1" s="1"/>
  <c r="G53" i="1" s="1"/>
  <c r="E92" i="1"/>
  <c r="E419" i="4"/>
  <c r="E80" i="1"/>
  <c r="F80" i="1" s="1"/>
  <c r="G80" i="1" s="1"/>
  <c r="E64" i="1"/>
  <c r="F64" i="1" s="1"/>
  <c r="G64" i="1" s="1"/>
  <c r="L37" i="23" l="1"/>
  <c r="E95" i="21"/>
  <c r="F77" i="1"/>
  <c r="G77" i="1" s="1"/>
  <c r="D100" i="1"/>
  <c r="D35" i="1"/>
  <c r="D103" i="1"/>
  <c r="D59" i="1"/>
  <c r="F60" i="1"/>
  <c r="G60" i="1" s="1"/>
  <c r="D38" i="1"/>
  <c r="F92" i="1"/>
  <c r="G92" i="1" s="1"/>
  <c r="F118" i="1"/>
  <c r="G118" i="1" s="1"/>
  <c r="E59" i="1"/>
  <c r="F61" i="1"/>
  <c r="G61" i="1" s="1"/>
  <c r="F65" i="1"/>
  <c r="G65" i="1" s="1"/>
  <c r="J92" i="23"/>
  <c r="J169" i="23" s="1"/>
  <c r="K86" i="23"/>
  <c r="L86" i="23" s="1"/>
  <c r="E9" i="1"/>
  <c r="F9" i="1" s="1"/>
  <c r="G9" i="1" s="1"/>
  <c r="E48" i="4"/>
  <c r="E27" i="1"/>
  <c r="F27" i="1" s="1"/>
  <c r="G27" i="1" s="1"/>
  <c r="E499" i="4"/>
  <c r="E102" i="1"/>
  <c r="F102" i="1" s="1"/>
  <c r="G102" i="1" s="1"/>
  <c r="D474" i="4"/>
  <c r="D558" i="4" s="1"/>
  <c r="D570" i="4" s="1"/>
  <c r="E182" i="4"/>
  <c r="E527" i="4"/>
  <c r="E41" i="1"/>
  <c r="F41" i="1" s="1"/>
  <c r="G41" i="1" s="1"/>
  <c r="E142" i="4"/>
  <c r="E39" i="1"/>
  <c r="F39" i="1" s="1"/>
  <c r="G39" i="1" s="1"/>
  <c r="E369" i="4"/>
  <c r="D106" i="1" l="1"/>
  <c r="D85" i="1"/>
  <c r="D87" i="1" s="1"/>
  <c r="F59" i="1"/>
  <c r="G59" i="1" s="1"/>
  <c r="K92" i="23"/>
  <c r="L92" i="23" s="1"/>
  <c r="E474" i="4"/>
  <c r="E140" i="4"/>
  <c r="E100" i="1"/>
  <c r="F100" i="1" s="1"/>
  <c r="G100" i="1" s="1"/>
  <c r="E26" i="1"/>
  <c r="F26" i="1" s="1"/>
  <c r="G26" i="1" s="1"/>
  <c r="E525" i="4"/>
  <c r="E105" i="1"/>
  <c r="F105" i="1" s="1"/>
  <c r="G105" i="1" s="1"/>
  <c r="E38" i="1"/>
  <c r="F38" i="1" s="1"/>
  <c r="G38" i="1" s="1"/>
  <c r="D108" i="1" l="1"/>
  <c r="D120" i="1" s="1"/>
  <c r="E35" i="1"/>
  <c r="F35" i="1" s="1"/>
  <c r="G35" i="1" s="1"/>
  <c r="E103" i="1"/>
  <c r="F103" i="1" s="1"/>
  <c r="G103" i="1" s="1"/>
  <c r="E85" i="1"/>
  <c r="F85" i="1" s="1"/>
  <c r="G85" i="1" s="1"/>
  <c r="E557" i="4"/>
  <c r="E558" i="4" l="1"/>
  <c r="E87" i="1"/>
  <c r="F87" i="1" s="1"/>
  <c r="G87" i="1" s="1"/>
  <c r="E106" i="1"/>
  <c r="F106" i="1" s="1"/>
  <c r="G106" i="1" s="1"/>
  <c r="E108" i="1" l="1"/>
  <c r="F108" i="1" s="1"/>
  <c r="G108" i="1" s="1"/>
  <c r="E570" i="4"/>
  <c r="E120" i="1" l="1"/>
  <c r="F120" i="1" s="1"/>
  <c r="G120" i="1" s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E8" i="17" l="1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D43" i="17" l="1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I48" i="17" l="1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da compilare in linea con tab. 22 Crediti N.I.
</t>
        </r>
      </text>
    </comment>
    <comment ref="G136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sharedStrings.xml><?xml version="1.0" encoding="utf-8"?>
<sst xmlns="http://schemas.openxmlformats.org/spreadsheetml/2006/main" count="7010" uniqueCount="4804">
  <si>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</si>
  <si>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</si>
  <si>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</si>
  <si>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</si>
  <si>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</si>
  <si>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</si>
  <si>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</si>
  <si>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</si>
  <si>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</si>
  <si>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</si>
  <si>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</si>
  <si>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</si>
  <si>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</si>
  <si>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</si>
  <si>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</si>
  <si>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</si>
  <si>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</si>
  <si>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</si>
  <si>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</si>
  <si>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</si>
  <si>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</si>
  <si>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</si>
  <si>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</si>
  <si>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</si>
  <si>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</si>
  <si>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</si>
  <si>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</si>
  <si>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</si>
  <si>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</si>
  <si>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</si>
  <si>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</si>
  <si>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</si>
  <si>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</si>
  <si>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</si>
  <si>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</si>
  <si>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</si>
  <si>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</si>
  <si>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</si>
  <si>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</si>
  <si>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</si>
  <si>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</si>
  <si>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</si>
  <si>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</si>
  <si>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</si>
  <si>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</si>
  <si>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</si>
  <si>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</si>
  <si>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</si>
  <si>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</si>
  <si>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</si>
  <si>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</si>
  <si>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</si>
  <si>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</si>
  <si>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</si>
  <si>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</si>
  <si>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</si>
  <si>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</si>
  <si>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</si>
  <si>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</si>
  <si>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</si>
  <si>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</si>
  <si>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</si>
  <si>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</si>
  <si>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</si>
  <si>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</si>
  <si>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</si>
  <si>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</si>
  <si>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</si>
  <si>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</si>
  <si>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</si>
  <si>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</si>
  <si>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</si>
  <si>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</si>
  <si>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</si>
  <si>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</si>
  <si>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</si>
  <si>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</si>
  <si>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</si>
  <si>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</si>
  <si>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</si>
  <si>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</si>
  <si>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</si>
  <si>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</si>
  <si>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</si>
  <si>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</si>
  <si>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</si>
  <si>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</si>
  <si>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</si>
  <si>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</si>
  <si>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</si>
  <si>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</si>
  <si>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</si>
  <si>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</si>
  <si>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</si>
  <si>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</si>
  <si>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</si>
  <si>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</si>
  <si>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</si>
  <si>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</si>
  <si>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</si>
  <si>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</si>
  <si>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</si>
  <si>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</si>
  <si>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</si>
  <si>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</si>
  <si>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</si>
  <si>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</si>
  <si>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</si>
  <si>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</si>
  <si>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</si>
  <si>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</si>
  <si>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</si>
  <si>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</si>
  <si>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</si>
  <si>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</si>
  <si>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</si>
  <si>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</si>
  <si>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</si>
  <si>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</si>
  <si>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</si>
  <si>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</si>
  <si>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</si>
  <si>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</si>
  <si>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</si>
  <si>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</si>
  <si>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</si>
  <si>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</si>
  <si>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</si>
  <si>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</si>
  <si>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</si>
  <si>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</si>
  <si>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</si>
  <si>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</si>
  <si>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</si>
  <si>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</si>
  <si>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</si>
  <si>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</si>
  <si>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</si>
  <si>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</si>
  <si>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</si>
  <si>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</si>
  <si>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</si>
  <si>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</si>
  <si>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</si>
  <si>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</si>
  <si>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</si>
  <si>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</si>
  <si>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</si>
  <si>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</si>
  <si>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</si>
  <si>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</si>
  <si>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</si>
  <si>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</si>
  <si>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</si>
  <si>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</si>
  <si>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</si>
  <si>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</si>
  <si>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</si>
  <si>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</si>
  <si>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</si>
  <si>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</si>
  <si>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</si>
  <si>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</si>
  <si>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</si>
  <si>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</si>
  <si>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</si>
  <si>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</si>
  <si>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</si>
  <si>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</si>
  <si>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</si>
  <si>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</si>
  <si>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</si>
  <si>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</si>
  <si>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</si>
  <si>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</si>
  <si>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</si>
  <si>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</si>
  <si>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</si>
  <si>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</si>
  <si>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</si>
  <si>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</si>
  <si>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</si>
  <si>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</si>
  <si>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</si>
  <si>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</si>
  <si>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</si>
  <si>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</si>
  <si>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</si>
  <si>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</si>
  <si>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</si>
  <si>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</si>
  <si>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</si>
  <si>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</si>
  <si>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</si>
  <si>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</si>
  <si>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</si>
  <si>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</si>
  <si>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</si>
  <si>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</si>
  <si>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</si>
  <si>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</si>
  <si>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</si>
  <si>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</si>
  <si>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</si>
  <si>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</si>
  <si>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</si>
  <si>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</si>
  <si>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</si>
  <si>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</si>
  <si>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</si>
  <si>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</si>
  <si>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</si>
  <si>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</si>
  <si>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</si>
  <si>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</si>
  <si>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</si>
  <si>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</si>
  <si>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</si>
  <si>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</si>
  <si>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</si>
  <si>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</si>
  <si>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</si>
  <si>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</si>
  <si>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</si>
  <si>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</si>
  <si>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</si>
  <si>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</si>
  <si>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</si>
  <si>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</si>
  <si>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</si>
  <si>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</si>
  <si>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</si>
  <si>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</si>
  <si>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</si>
  <si>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</si>
  <si>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</si>
  <si>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</si>
  <si>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</si>
  <si>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</si>
  <si>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</si>
  <si>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</si>
  <si>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</si>
  <si>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</si>
  <si>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</si>
  <si>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</si>
  <si>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</si>
  <si>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</si>
  <si>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</si>
  <si>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</si>
  <si>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</si>
  <si>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</si>
  <si>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</si>
  <si>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</si>
  <si>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</si>
  <si>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</si>
  <si>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</si>
  <si>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</si>
  <si>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</si>
  <si>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</si>
  <si>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</si>
  <si>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</si>
  <si>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</si>
  <si>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</si>
  <si>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</si>
  <si>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</si>
  <si>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</si>
  <si>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</si>
  <si>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</si>
  <si>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</si>
  <si>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</si>
  <si>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</si>
  <si>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</si>
  <si>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</si>
  <si>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</si>
  <si>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</si>
  <si>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</si>
  <si>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</si>
  <si>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</si>
  <si>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</si>
  <si>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</si>
  <si>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</si>
  <si>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</si>
  <si>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</si>
  <si>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</si>
  <si>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</si>
  <si>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</si>
  <si>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</si>
  <si>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</si>
  <si>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</si>
  <si>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</si>
  <si>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</si>
  <si>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</si>
  <si>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</si>
  <si>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</si>
  <si>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</si>
  <si>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</si>
  <si>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</si>
  <si>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</si>
  <si>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</si>
  <si>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</si>
  <si>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</si>
  <si>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</si>
  <si>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</si>
  <si>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</si>
  <si>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</si>
  <si>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</si>
  <si>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</si>
  <si>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</si>
  <si>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</si>
  <si>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</si>
  <si>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</si>
  <si>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</si>
  <si>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</si>
  <si>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</si>
  <si>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</si>
  <si>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</si>
  <si>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</si>
  <si>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</si>
  <si>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</si>
  <si>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</si>
  <si>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</si>
  <si>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</si>
  <si>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</si>
  <si>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</si>
  <si>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</si>
  <si>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</si>
  <si>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</si>
  <si>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</si>
  <si>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</si>
  <si>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</si>
  <si>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</si>
  <si>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</si>
  <si>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</si>
  <si>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</si>
  <si>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</si>
  <si>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</si>
  <si>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</si>
  <si>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</si>
  <si>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</si>
  <si>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</si>
  <si>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</si>
  <si>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</si>
  <si>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</si>
  <si>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</si>
  <si>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</si>
  <si>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</si>
  <si>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</si>
  <si>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</si>
  <si>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</si>
  <si>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</si>
  <si>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</si>
  <si>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</si>
  <si>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</si>
  <si>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</si>
  <si>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</si>
  <si>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</si>
  <si>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</si>
  <si>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</si>
  <si>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</si>
  <si>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</si>
  <si>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</si>
  <si>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</si>
  <si>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</si>
  <si>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</si>
  <si>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</si>
  <si>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</si>
  <si>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</si>
  <si>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</si>
  <si>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</si>
  <si>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</si>
  <si>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</si>
  <si>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</si>
  <si>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</si>
  <si>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</si>
  <si>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</si>
  <si>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</si>
  <si>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</si>
  <si>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</si>
  <si>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</si>
  <si>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</si>
  <si>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</si>
  <si>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</si>
  <si>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</si>
  <si>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</si>
  <si>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</si>
  <si>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</si>
  <si>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</si>
  <si>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</si>
  <si>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</si>
  <si>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</si>
  <si>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</si>
  <si>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</si>
  <si>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</si>
  <si>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</si>
  <si>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</si>
  <si>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</si>
  <si>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</si>
  <si>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</si>
  <si>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</si>
  <si>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</si>
  <si>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</si>
  <si>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</si>
  <si>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</si>
  <si>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</si>
  <si>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</si>
  <si>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</si>
  <si>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</si>
  <si>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</si>
  <si>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</si>
  <si>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</si>
  <si>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</si>
  <si>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</si>
  <si>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</si>
  <si>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</si>
  <si>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</si>
  <si>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</si>
  <si>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</si>
  <si>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</si>
  <si>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</si>
  <si>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</si>
  <si>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</si>
  <si>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</si>
  <si>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</si>
  <si>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</si>
  <si>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</si>
  <si>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</si>
  <si>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</si>
  <si>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</si>
  <si>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</si>
  <si>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</si>
  <si>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</si>
  <si>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</si>
  <si>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</si>
  <si>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</si>
  <si>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</si>
  <si>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</si>
  <si>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</si>
  <si>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</si>
  <si>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</si>
  <si>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</si>
  <si>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</si>
  <si>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</si>
  <si>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</si>
  <si>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</si>
  <si>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</si>
  <si>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</si>
  <si>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</si>
  <si>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</si>
  <si>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</si>
  <si>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</si>
  <si>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</si>
  <si>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</si>
  <si>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</si>
  <si>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</si>
  <si>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</si>
  <si>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</si>
  <si>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</si>
  <si>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</si>
  <si>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</si>
  <si>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</si>
  <si>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</si>
  <si>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</si>
  <si>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</si>
  <si>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</si>
  <si>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</si>
  <si>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</si>
  <si>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</si>
  <si>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</si>
  <si>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</si>
  <si>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</si>
  <si>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</si>
  <si>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</si>
  <si>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</si>
  <si>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</si>
  <si>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</si>
  <si>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</si>
  <si>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</si>
  <si>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</si>
  <si>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</si>
  <si>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</si>
  <si>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</si>
  <si>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</si>
  <si>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</si>
  <si>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</si>
  <si>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</si>
  <si>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</si>
  <si>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</si>
  <si>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</si>
  <si>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</si>
  <si>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</si>
  <si>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</si>
  <si>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</si>
  <si>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</si>
  <si>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</si>
  <si>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</si>
  <si>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</si>
  <si>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</si>
  <si>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</si>
  <si>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</si>
  <si>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</si>
  <si>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</si>
  <si>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</si>
  <si>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</si>
  <si>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</si>
  <si>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</si>
  <si>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</si>
  <si>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</si>
  <si>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</si>
  <si>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</si>
  <si>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</si>
  <si>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</si>
  <si>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</si>
  <si>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</si>
  <si>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</si>
  <si>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</si>
  <si>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</si>
  <si>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</si>
  <si>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</si>
  <si>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</si>
  <si>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</si>
  <si>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</si>
  <si>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</si>
  <si>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</si>
  <si>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</si>
  <si>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</si>
  <si>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</si>
  <si>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</si>
  <si>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</si>
  <si>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</si>
  <si>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</si>
  <si>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</si>
  <si>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</si>
  <si>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</si>
  <si>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</si>
  <si>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</si>
  <si>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</si>
  <si>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</si>
  <si>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</si>
  <si>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</si>
  <si>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</si>
  <si>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</si>
  <si>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</si>
  <si>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</si>
  <si>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</si>
  <si>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</si>
  <si>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</si>
  <si>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</si>
  <si>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</si>
  <si>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</si>
  <si>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</si>
  <si>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</si>
  <si>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</si>
  <si>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</si>
  <si>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</si>
  <si>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</si>
  <si>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</si>
  <si>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</si>
  <si>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</si>
  <si>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</si>
  <si>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</si>
  <si>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</si>
  <si>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</si>
  <si>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</si>
  <si>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</si>
  <si>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</si>
  <si>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</si>
  <si>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</si>
  <si>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</si>
  <si>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</si>
  <si>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</si>
  <si>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</si>
  <si>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</si>
  <si>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</si>
  <si>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</si>
  <si>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</si>
  <si>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</si>
  <si>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</si>
  <si>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</si>
  <si>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</si>
  <si>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</si>
  <si>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</si>
  <si>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</si>
  <si>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</si>
  <si>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</si>
  <si>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</si>
  <si>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</si>
  <si>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</si>
  <si>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</si>
  <si>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</si>
  <si>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</si>
  <si>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</si>
  <si>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</si>
  <si>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</si>
  <si>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</si>
  <si>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</si>
  <si>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</si>
  <si>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</si>
  <si>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</si>
  <si>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</si>
  <si>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</si>
  <si>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</si>
  <si>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</si>
  <si>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</si>
  <si>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</si>
  <si>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</si>
  <si>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</si>
  <si>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</si>
  <si>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</si>
  <si>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</si>
  <si>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</si>
  <si>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</si>
  <si>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</si>
  <si>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</si>
  <si>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</si>
  <si>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</si>
  <si>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</si>
  <si>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</si>
  <si>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</si>
  <si>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</si>
  <si>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</si>
  <si>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</si>
  <si>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</si>
  <si>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</si>
  <si>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</si>
  <si>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</si>
  <si>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</si>
  <si>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</si>
  <si>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</si>
  <si>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</si>
  <si>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</si>
  <si>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</si>
  <si>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</si>
  <si>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</si>
  <si>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</si>
  <si>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</si>
  <si>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</si>
  <si>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</si>
  <si>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</si>
  <si>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</si>
  <si>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</si>
  <si>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</si>
  <si>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</si>
  <si>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</si>
  <si>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</si>
  <si>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</si>
  <si>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</si>
  <si>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</si>
  <si>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</si>
  <si>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</si>
  <si>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</si>
  <si>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</si>
  <si>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</si>
  <si>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</si>
  <si>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</si>
  <si>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</si>
  <si>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</si>
  <si>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</si>
  <si>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</si>
  <si>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</si>
  <si>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</si>
  <si>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</si>
  <si>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</si>
  <si>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</si>
  <si>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</si>
  <si>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</si>
  <si>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</si>
  <si>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</si>
  <si>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</si>
  <si>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</si>
  <si>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</si>
  <si>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</si>
  <si>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</si>
  <si>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</si>
  <si>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</si>
  <si>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</si>
  <si>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</si>
  <si>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</si>
  <si>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</si>
  <si>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</si>
  <si>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</si>
  <si>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</si>
  <si>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</si>
  <si>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</si>
  <si>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</si>
  <si>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</si>
  <si>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</si>
  <si>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</si>
  <si>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</si>
  <si>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</si>
  <si>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</si>
  <si>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</si>
  <si>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</si>
  <si>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</si>
  <si>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</si>
  <si>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</si>
  <si>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</si>
  <si>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</si>
  <si>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</si>
  <si>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</si>
  <si>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</si>
  <si>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</si>
  <si>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</si>
  <si>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</si>
  <si>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</si>
  <si>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</si>
  <si>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</si>
  <si>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</si>
  <si>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</si>
  <si>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</si>
  <si>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</si>
  <si>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</si>
  <si>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</si>
  <si>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</si>
  <si>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</si>
  <si>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</si>
  <si>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</si>
  <si>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</si>
  <si>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</si>
  <si>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</si>
  <si>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</si>
  <si>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</si>
  <si>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</si>
  <si>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</si>
  <si>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</si>
  <si>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</si>
  <si>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</si>
  <si>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</si>
  <si>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</si>
  <si>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</si>
  <si>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</si>
  <si>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</si>
  <si>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</si>
  <si>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</si>
  <si>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</si>
  <si>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</si>
  <si>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</si>
  <si>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</si>
  <si>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</si>
  <si>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</si>
  <si>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</si>
  <si>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</si>
  <si>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</si>
  <si>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</si>
  <si>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</si>
  <si>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</si>
  <si>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</si>
  <si>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</si>
  <si>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</si>
  <si>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</si>
  <si>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</si>
  <si>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</si>
  <si>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</si>
  <si>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</si>
  <si>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</si>
  <si>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</si>
  <si>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</si>
  <si>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</si>
  <si>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</si>
  <si>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</si>
  <si>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</si>
  <si>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</si>
  <si>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</si>
  <si>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</si>
  <si>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</si>
  <si>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</si>
  <si>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</si>
  <si>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</si>
  <si>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</si>
  <si>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</si>
  <si>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</si>
  <si>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</si>
  <si>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</si>
  <si>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</si>
  <si>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</si>
  <si>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</si>
  <si>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</si>
  <si>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</si>
  <si>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</si>
  <si>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</si>
  <si>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</si>
  <si>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</si>
  <si>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</si>
  <si>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</si>
  <si>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</si>
  <si>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</si>
  <si>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</si>
  <si>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</si>
  <si>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</si>
  <si>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</si>
  <si>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</si>
  <si>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</si>
  <si>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</si>
  <si>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</si>
  <si>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</si>
  <si>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</si>
  <si>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</si>
  <si>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</si>
  <si>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</si>
  <si>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</si>
  <si>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</si>
  <si>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</si>
  <si>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</si>
  <si>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</si>
  <si>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</si>
  <si>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</si>
  <si>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</si>
  <si>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</si>
  <si>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</si>
  <si>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</si>
  <si>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</si>
  <si>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</si>
  <si>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</si>
  <si>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</si>
  <si>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</si>
  <si>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</si>
  <si>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</si>
  <si>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</si>
  <si>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</si>
  <si>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</si>
  <si>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</si>
  <si>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</si>
  <si>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</si>
  <si>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</si>
  <si>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</si>
  <si>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</si>
  <si>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</si>
  <si>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</si>
  <si>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</si>
  <si>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</si>
  <si>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</si>
  <si>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</si>
  <si>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</si>
  <si>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</si>
  <si>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</si>
  <si>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</si>
  <si>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</si>
  <si>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</si>
  <si>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</si>
  <si>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</si>
  <si>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</si>
  <si>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</si>
  <si>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</si>
  <si>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</si>
  <si>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</si>
  <si>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</si>
  <si>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</si>
  <si>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</si>
  <si>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</si>
  <si>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</si>
  <si>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</si>
  <si>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</si>
  <si>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</si>
  <si>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</si>
  <si>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</si>
  <si>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</si>
  <si>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</si>
  <si>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</si>
  <si>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</si>
  <si>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</si>
  <si>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</si>
  <si>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</si>
  <si>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</si>
  <si>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</si>
  <si>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</si>
  <si>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</si>
  <si>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</si>
  <si>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</si>
  <si>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</si>
  <si>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</si>
  <si>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</si>
  <si>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</si>
  <si>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</si>
  <si>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</si>
  <si>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</si>
  <si>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</si>
  <si>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</si>
  <si>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</si>
  <si>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</si>
  <si>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</si>
  <si>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</si>
  <si>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</si>
  <si>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</si>
  <si>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</si>
  <si>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</si>
  <si>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</si>
  <si>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</si>
  <si>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</si>
  <si>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</si>
  <si>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</si>
  <si>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</si>
  <si>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</si>
  <si>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</si>
  <si>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</si>
  <si>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</si>
  <si>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</si>
  <si>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</si>
  <si>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</si>
  <si>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</si>
  <si>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</si>
  <si>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</si>
  <si>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</si>
  <si>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</si>
  <si>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</si>
  <si>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</si>
  <si>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</si>
  <si>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</si>
  <si>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</si>
  <si>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</si>
  <si>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</si>
  <si>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</si>
  <si>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</si>
  <si>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</si>
  <si>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</si>
  <si>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</si>
  <si>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</si>
  <si>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</si>
  <si>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</si>
  <si>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</si>
  <si>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</si>
  <si>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</si>
  <si>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</si>
  <si>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</si>
  <si>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</si>
  <si>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</si>
  <si>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</si>
  <si>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</si>
  <si>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</si>
  <si>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</si>
  <si>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</si>
  <si>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</si>
  <si>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</si>
  <si>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</si>
  <si>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</si>
  <si>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</si>
  <si>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</si>
  <si>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</si>
  <si>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</si>
  <si>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</si>
  <si>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</si>
  <si>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</si>
  <si>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</si>
  <si>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</si>
  <si>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</si>
  <si>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</si>
  <si>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</si>
  <si>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</si>
  <si>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</si>
  <si>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</si>
  <si>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</si>
  <si>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</si>
  <si>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</si>
  <si>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</si>
  <si>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</si>
  <si>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</si>
  <si>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</si>
  <si>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</si>
  <si>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</si>
  <si>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</si>
  <si>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</si>
  <si>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</si>
  <si>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</si>
  <si>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</si>
  <si>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</si>
  <si>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</si>
  <si>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</si>
  <si>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</si>
  <si>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</si>
  <si>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</si>
  <si>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</si>
  <si>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</si>
  <si>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</si>
  <si>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</si>
  <si>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</si>
  <si>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</si>
  <si>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</si>
  <si>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</si>
  <si>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</si>
  <si>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</si>
  <si>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</si>
  <si>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</si>
  <si>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</si>
  <si>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</si>
  <si>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</si>
  <si>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</si>
  <si>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</si>
  <si>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</si>
  <si>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</si>
  <si>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</si>
  <si>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</si>
  <si>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</si>
  <si>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</si>
  <si>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</si>
  <si>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</si>
  <si>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</si>
  <si>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</si>
  <si>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</si>
  <si>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</si>
  <si>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</si>
  <si>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</si>
  <si>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</si>
  <si>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</si>
  <si>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</si>
  <si>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</si>
  <si>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</si>
  <si>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</si>
  <si>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</si>
  <si>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</si>
  <si>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</si>
  <si>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</si>
  <si>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</si>
  <si>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</si>
  <si>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</si>
  <si>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</si>
  <si>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</si>
  <si>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</si>
  <si>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</si>
  <si>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</si>
  <si>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</si>
  <si>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</si>
  <si>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</si>
  <si>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</si>
  <si>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</si>
  <si>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</si>
  <si>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</si>
  <si>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</si>
  <si>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</si>
  <si>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</si>
  <si>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</si>
  <si>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</si>
  <si>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</si>
  <si>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</si>
  <si>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</si>
  <si>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</si>
  <si>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</si>
  <si>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</si>
  <si>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</si>
  <si>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</si>
  <si>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</si>
  <si>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</si>
  <si>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</si>
  <si>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</si>
  <si>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</si>
  <si>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</si>
  <si>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</si>
  <si>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</si>
  <si>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</si>
  <si>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</si>
  <si>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</si>
  <si>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</si>
  <si>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</si>
  <si>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</si>
  <si>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</si>
  <si>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</si>
  <si>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</si>
  <si>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</si>
  <si>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</si>
  <si>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</si>
  <si>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</si>
  <si>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</si>
  <si>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</si>
  <si>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</si>
  <si>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</si>
  <si>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</si>
  <si>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</si>
  <si>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</si>
  <si>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</si>
  <si>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</si>
  <si>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</si>
  <si>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</si>
  <si>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</si>
  <si>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</si>
  <si>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</si>
  <si>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</si>
  <si>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</si>
  <si>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</si>
  <si>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</si>
  <si>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</si>
  <si>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</si>
  <si>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</si>
  <si>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</si>
  <si>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</si>
  <si>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</si>
  <si>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</si>
  <si>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</si>
  <si>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</si>
  <si>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</si>
  <si>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</si>
  <si>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</si>
  <si>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</si>
  <si>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</si>
  <si>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</si>
  <si>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</si>
  <si>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</si>
  <si>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</si>
  <si>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</si>
  <si>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</si>
  <si>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</si>
  <si>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</si>
  <si>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</si>
  <si>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</si>
  <si>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</si>
  <si>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</si>
  <si>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</si>
  <si>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</si>
  <si>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</si>
  <si>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</si>
  <si>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</si>
  <si>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</si>
  <si>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</si>
  <si>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</si>
  <si>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</si>
  <si>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</si>
  <si>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</si>
  <si>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</si>
  <si>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</si>
  <si>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</si>
  <si>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</si>
  <si>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</si>
  <si>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</si>
  <si>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</si>
  <si>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</si>
  <si>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</si>
  <si>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</si>
  <si>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</si>
  <si>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</si>
  <si>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</si>
  <si>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</si>
  <si>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</si>
  <si>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</si>
  <si>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</si>
  <si>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</si>
  <si>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</si>
  <si>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</si>
  <si>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</si>
  <si>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</si>
  <si>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</si>
  <si>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</si>
  <si>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</si>
  <si>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</si>
  <si>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</si>
  <si>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</si>
  <si>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</si>
  <si>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</si>
  <si>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</si>
  <si>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</si>
  <si>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</si>
  <si>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</si>
  <si>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</si>
  <si>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</si>
  <si>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</si>
  <si>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</si>
  <si>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</si>
  <si>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</si>
  <si>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</si>
  <si>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</si>
  <si>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</si>
  <si>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</si>
  <si>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</si>
  <si>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</si>
  <si>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</si>
  <si>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</si>
  <si>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</si>
  <si>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</si>
  <si>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</si>
  <si>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</si>
  <si>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</si>
  <si>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</si>
  <si>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</si>
  <si>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</si>
  <si>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</si>
  <si>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</si>
  <si>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</si>
  <si>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</si>
  <si>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</si>
  <si>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</si>
  <si>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</si>
  <si>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</si>
  <si>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</si>
  <si>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</si>
  <si>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</si>
  <si>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</si>
  <si>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</si>
  <si>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</si>
  <si>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</si>
  <si>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</si>
  <si>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</si>
  <si>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</si>
  <si>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</si>
  <si>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</si>
  <si>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</si>
  <si>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</si>
  <si>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</si>
  <si>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</si>
  <si>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</si>
  <si>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</si>
  <si>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</si>
  <si>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</si>
  <si>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</si>
  <si>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</si>
  <si>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</si>
  <si>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</si>
  <si>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</si>
  <si>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</si>
  <si>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</si>
  <si>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</si>
  <si>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</si>
  <si>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</si>
  <si>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</si>
  <si>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</si>
  <si>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</si>
  <si>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</si>
  <si>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</si>
  <si>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</si>
  <si>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</si>
  <si>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</si>
  <si>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</si>
  <si>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</si>
  <si>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</si>
  <si>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</si>
  <si>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</si>
  <si>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</si>
  <si>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</si>
  <si>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</si>
  <si>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</si>
  <si>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</si>
  <si>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</si>
  <si>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</si>
  <si>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</si>
  <si>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</si>
  <si>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</si>
  <si>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</si>
  <si>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</si>
  <si>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</si>
  <si>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</si>
  <si>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</si>
  <si>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</si>
  <si>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</si>
  <si>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</si>
  <si>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</si>
  <si>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</si>
  <si>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</si>
  <si>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</si>
  <si>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</si>
  <si>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</si>
  <si>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</si>
  <si>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</si>
  <si>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</si>
  <si>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</si>
  <si>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</si>
  <si>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</si>
  <si>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</si>
  <si>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</si>
  <si>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</si>
  <si>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</si>
  <si>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</si>
  <si>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</si>
  <si>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</si>
  <si>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</si>
  <si>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</si>
  <si>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</si>
  <si>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</si>
  <si>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</si>
  <si>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</si>
  <si>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</si>
  <si>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</si>
  <si>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</si>
  <si>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</si>
  <si>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</si>
  <si>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</si>
  <si>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</si>
  <si>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</si>
  <si>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</si>
  <si>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</si>
  <si>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</si>
  <si>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</si>
  <si>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</si>
  <si>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</si>
  <si>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</si>
  <si>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</si>
  <si>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</si>
  <si>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</si>
  <si>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</si>
  <si>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</si>
  <si>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</si>
  <si>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</si>
  <si>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</si>
  <si>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</si>
  <si>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</si>
  <si>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</si>
  <si>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</si>
  <si>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</si>
  <si>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</si>
  <si>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</si>
  <si>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</si>
  <si>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</si>
  <si>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</si>
  <si>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</si>
  <si>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</si>
  <si>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</si>
  <si>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</si>
  <si>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</si>
  <si>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</si>
  <si>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</si>
  <si>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</si>
  <si>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</si>
  <si>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</si>
  <si>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</si>
  <si>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</si>
  <si>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</si>
  <si>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</si>
  <si>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</si>
  <si>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</si>
  <si>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</si>
  <si>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</si>
  <si>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</si>
  <si>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</si>
  <si>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</si>
  <si>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</si>
  <si>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</si>
  <si>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</si>
  <si>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</si>
  <si>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</si>
  <si>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</si>
  <si>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</si>
  <si>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</si>
  <si>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</si>
  <si>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</si>
  <si>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</si>
  <si>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</si>
  <si>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</si>
  <si>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</si>
  <si>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</si>
  <si>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</si>
  <si>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</si>
  <si>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</si>
  <si>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</si>
  <si>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</si>
  <si>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</si>
  <si>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</si>
  <si>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</si>
  <si>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</si>
  <si>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</si>
  <si>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</si>
  <si>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</si>
  <si>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</si>
  <si>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</si>
  <si>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</si>
  <si>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</si>
  <si>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</si>
  <si>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</si>
  <si>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</si>
  <si>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</si>
  <si>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</si>
  <si>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</si>
  <si>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</si>
  <si>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</si>
  <si>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</si>
  <si>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</si>
  <si>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</si>
  <si>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</si>
  <si>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</si>
  <si>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</si>
  <si>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</si>
  <si>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</si>
  <si>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</si>
  <si>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</si>
  <si>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</si>
  <si>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</si>
  <si>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</si>
  <si>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</si>
  <si>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</si>
  <si>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</si>
  <si>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</si>
  <si>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</si>
  <si>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</si>
  <si>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</si>
  <si>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</si>
  <si>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</si>
  <si>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</si>
  <si>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</si>
  <si>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</si>
  <si>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</si>
  <si>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</si>
  <si>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</si>
  <si>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</si>
  <si>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</si>
  <si>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</si>
  <si>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</si>
  <si>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</si>
  <si>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</si>
  <si>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</si>
  <si>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</si>
  <si>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</si>
  <si>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</si>
  <si>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</si>
  <si>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</si>
  <si>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</si>
  <si>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</si>
  <si>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</si>
  <si>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</si>
  <si>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</si>
  <si>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</si>
  <si>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</si>
  <si>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</si>
  <si>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</si>
  <si>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</si>
  <si>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</si>
  <si>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</si>
  <si>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</si>
  <si>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</si>
  <si>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</si>
  <si>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</si>
  <si>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</si>
  <si>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</si>
  <si>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</si>
  <si>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</si>
  <si>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</si>
  <si>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</si>
  <si>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</si>
  <si>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</si>
  <si>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</si>
  <si>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</si>
  <si>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</si>
  <si>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</si>
  <si>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</si>
  <si>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</si>
  <si>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</si>
  <si>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</si>
  <si>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</si>
  <si>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</si>
  <si>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</si>
  <si>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</si>
  <si>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</si>
  <si>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</si>
  <si>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</si>
  <si>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</si>
  <si>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</si>
  <si>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</si>
  <si>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</si>
  <si>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</si>
  <si>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</si>
  <si>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</si>
  <si>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</si>
  <si>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</si>
  <si>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</si>
  <si>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</si>
  <si>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</si>
  <si>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</si>
  <si>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</si>
  <si>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</si>
  <si>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</si>
  <si>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</si>
  <si>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</si>
  <si>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</si>
  <si>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</si>
  <si>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</si>
  <si>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</si>
  <si>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</si>
  <si>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</si>
  <si>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</si>
  <si>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</si>
  <si>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</si>
  <si>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</si>
  <si>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</si>
  <si>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</si>
  <si>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</si>
  <si>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</si>
  <si>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</si>
  <si>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</si>
  <si>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</si>
  <si>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</si>
  <si>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</si>
  <si>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</si>
  <si>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</si>
  <si>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</si>
  <si>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</si>
  <si>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</si>
  <si>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</si>
  <si>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</si>
  <si>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</si>
  <si>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</si>
  <si>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</si>
  <si>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</si>
  <si>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</si>
  <si>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</si>
  <si>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</si>
  <si>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</si>
  <si>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</si>
  <si>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</si>
  <si>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</si>
  <si>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</si>
  <si>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</si>
  <si>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</si>
  <si>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</si>
  <si>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</si>
  <si>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</si>
  <si>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</si>
  <si>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</si>
  <si>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</si>
  <si>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</si>
  <si>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</si>
  <si>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</si>
  <si>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</si>
  <si>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</si>
  <si>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</si>
  <si>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</si>
  <si>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</si>
  <si>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</si>
  <si>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</si>
  <si>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</si>
  <si>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</si>
  <si>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</si>
  <si>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</si>
  <si>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</si>
  <si>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</si>
  <si>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</si>
  <si>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</si>
  <si>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</si>
  <si>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</si>
  <si>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</si>
  <si>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</si>
  <si>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</si>
  <si>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</si>
  <si>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</si>
  <si>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</si>
  <si>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</si>
  <si>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</si>
  <si>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</si>
  <si>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</si>
  <si>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</si>
  <si>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</si>
  <si>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</si>
  <si>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</si>
  <si>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</si>
  <si>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</si>
  <si>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</si>
  <si>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</si>
  <si>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</si>
  <si>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</si>
  <si>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</si>
  <si>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</si>
  <si>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</si>
  <si>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</si>
  <si>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</si>
  <si>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</si>
  <si>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</si>
  <si>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</si>
  <si>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</si>
  <si>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</si>
  <si>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</si>
  <si>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</si>
  <si>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</si>
  <si>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</si>
  <si>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</si>
  <si>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</si>
  <si>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</si>
  <si>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</si>
  <si>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</si>
  <si>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</si>
  <si>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</si>
  <si>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</si>
  <si>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</si>
  <si>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</si>
  <si>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</si>
  <si>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</si>
  <si>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</si>
  <si>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</si>
  <si>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</si>
  <si>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</si>
  <si>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</si>
  <si>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</si>
  <si>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</si>
  <si>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</si>
  <si>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</si>
  <si>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</si>
  <si>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</si>
  <si>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</si>
  <si>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</si>
  <si>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</si>
  <si>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</si>
  <si>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</si>
  <si>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</si>
  <si>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</si>
  <si>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</si>
  <si>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</si>
  <si>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</si>
  <si>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</si>
  <si>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</si>
  <si>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</si>
  <si>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</si>
  <si>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</si>
  <si>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</si>
  <si>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</si>
  <si>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</si>
  <si>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</si>
  <si>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</si>
  <si>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</si>
  <si>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</si>
  <si>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</si>
  <si>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</si>
  <si>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</si>
  <si>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</si>
  <si>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</si>
  <si>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</si>
  <si>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</si>
  <si>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</si>
  <si>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</si>
  <si>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</si>
  <si>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</si>
  <si>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</si>
  <si>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</si>
  <si>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</si>
  <si>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</si>
  <si>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</si>
  <si>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</si>
  <si>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</si>
  <si>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</si>
  <si>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</si>
  <si>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</si>
  <si>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</si>
  <si>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</si>
  <si>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</si>
  <si>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</si>
  <si>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</si>
  <si>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</si>
  <si>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</si>
  <si>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</si>
  <si>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</si>
  <si>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</si>
  <si>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</si>
  <si>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</si>
  <si>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</si>
  <si>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</si>
  <si>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</si>
  <si>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</si>
  <si>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</si>
  <si>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</si>
  <si>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</si>
  <si>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</si>
  <si>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</si>
  <si>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</si>
  <si>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</si>
  <si>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</si>
  <si>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</si>
  <si>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</si>
  <si>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</si>
  <si>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</si>
  <si>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</si>
  <si>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</si>
  <si>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</si>
  <si>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</si>
  <si>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</si>
  <si>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</si>
  <si>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</si>
  <si>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</si>
  <si>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</si>
  <si>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</si>
  <si>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</si>
  <si>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</si>
  <si>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</si>
  <si>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</si>
  <si>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</si>
  <si>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</si>
  <si>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</si>
  <si>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</si>
  <si>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</si>
  <si>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</si>
  <si>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</si>
  <si>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</si>
  <si>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</si>
  <si>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</si>
  <si>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</si>
  <si>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</si>
  <si>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</si>
  <si>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</si>
  <si>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</si>
  <si>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</si>
  <si>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</si>
  <si>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</si>
  <si>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</si>
  <si>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</si>
  <si>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</si>
  <si>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</si>
  <si>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</si>
  <si>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</si>
  <si>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</si>
  <si>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</si>
  <si>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</si>
  <si>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</si>
  <si>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</si>
  <si>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</si>
  <si>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</si>
  <si>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</si>
  <si>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</si>
  <si>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</si>
  <si>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</si>
  <si>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</si>
  <si>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</si>
  <si>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</si>
  <si>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</si>
  <si>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</si>
  <si>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</si>
  <si>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</si>
  <si>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</si>
  <si>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</si>
  <si>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</si>
  <si>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</si>
  <si>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</si>
  <si>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</si>
  <si>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</si>
  <si>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</si>
  <si>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</si>
  <si>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</si>
  <si>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</si>
  <si>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</si>
  <si>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</si>
  <si>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</si>
  <si>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</si>
  <si>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</si>
  <si>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</si>
  <si>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</si>
  <si>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</si>
  <si>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</si>
  <si>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</si>
  <si>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</si>
  <si>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</si>
  <si>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</si>
  <si>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</si>
  <si>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</si>
  <si>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</si>
  <si>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</si>
  <si>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</si>
  <si>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</si>
  <si>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</si>
  <si>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</si>
  <si>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</si>
  <si>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</si>
  <si>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</si>
  <si>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</si>
  <si>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</si>
  <si>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</si>
  <si>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</si>
  <si>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</si>
  <si>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</si>
  <si>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</si>
  <si>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</si>
  <si>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</si>
  <si>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</si>
  <si>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</si>
  <si>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</si>
  <si>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</si>
  <si>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</si>
  <si>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</si>
  <si>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</si>
  <si>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</si>
  <si>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</si>
  <si>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</si>
  <si>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</si>
  <si>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</si>
  <si>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</si>
  <si>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</si>
  <si>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</si>
  <si>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</si>
  <si>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</si>
  <si>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</si>
  <si>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</si>
  <si>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</si>
  <si>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</si>
  <si>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</si>
  <si>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</si>
  <si>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</si>
  <si>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</si>
  <si>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</si>
  <si>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</si>
  <si>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</si>
  <si>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</si>
  <si>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</si>
  <si>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</si>
  <si>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</si>
  <si>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</si>
  <si>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</si>
  <si>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</si>
  <si>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</si>
  <si>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</si>
  <si>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</si>
  <si>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</si>
  <si>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</si>
  <si>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</si>
  <si>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</si>
  <si>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</si>
  <si>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</si>
  <si>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</si>
  <si>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</si>
  <si>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</si>
  <si>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</si>
  <si>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</si>
  <si>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</si>
  <si>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</si>
  <si>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</si>
  <si>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</si>
  <si>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</si>
  <si>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</si>
  <si>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</si>
  <si>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</si>
  <si>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</si>
  <si>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</si>
  <si>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</si>
  <si>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</si>
  <si>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</si>
  <si>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</si>
  <si>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</si>
  <si>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</si>
  <si>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</si>
  <si>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</si>
  <si>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</si>
  <si>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</si>
  <si>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</si>
  <si>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</si>
  <si>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</si>
  <si>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</si>
  <si>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</si>
  <si>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</si>
  <si>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</si>
  <si>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</si>
  <si>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</si>
  <si>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</si>
  <si>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</si>
  <si>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</si>
  <si>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</si>
  <si>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</si>
  <si>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</si>
  <si>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</si>
  <si>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</si>
  <si>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</si>
  <si>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</si>
  <si>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</si>
  <si>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</si>
  <si>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</si>
  <si>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</si>
  <si>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</si>
  <si>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</si>
  <si>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</si>
  <si>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</si>
  <si>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</si>
  <si>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</si>
  <si>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</si>
  <si>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</si>
  <si>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</si>
  <si>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</si>
  <si>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</si>
  <si>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</si>
  <si>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</si>
  <si>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</si>
  <si>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</si>
  <si>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</si>
  <si>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</si>
  <si>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</si>
  <si>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</si>
  <si>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</si>
  <si>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</si>
  <si>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</si>
  <si>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</si>
  <si>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</si>
  <si>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</si>
  <si>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</si>
  <si>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</si>
  <si>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</si>
  <si>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</si>
  <si>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</si>
  <si>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</si>
  <si>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</si>
  <si>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</si>
  <si>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</si>
  <si>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</si>
  <si>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</si>
  <si>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</si>
  <si>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</si>
  <si>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</si>
  <si>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</si>
  <si>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</si>
  <si>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</si>
  <si>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</si>
  <si>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</si>
  <si>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</si>
  <si>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</si>
  <si>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</si>
  <si>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</si>
  <si>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</si>
  <si>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</si>
  <si>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</si>
  <si>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</si>
  <si>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</si>
  <si>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</si>
  <si>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</si>
  <si>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</si>
  <si>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</si>
  <si>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</si>
  <si>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</si>
  <si>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</si>
  <si>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</si>
  <si>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</si>
  <si>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</si>
  <si>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</si>
  <si>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</si>
  <si>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</si>
  <si>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</si>
  <si>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</si>
  <si>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</si>
  <si>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</si>
  <si>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</si>
  <si>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</si>
  <si>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</si>
  <si>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</si>
  <si>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</si>
  <si>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</si>
  <si>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</si>
  <si>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</si>
  <si>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</si>
  <si>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</si>
  <si>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</si>
  <si>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</si>
  <si>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</si>
  <si>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</si>
  <si>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</si>
  <si>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</si>
  <si>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</si>
  <si>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</si>
  <si>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</si>
  <si>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</si>
  <si>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</si>
  <si>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</si>
  <si>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</si>
  <si>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</si>
  <si>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</si>
  <si>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</si>
  <si>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</si>
  <si>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</si>
  <si>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</si>
  <si>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</si>
  <si>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</si>
  <si>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</si>
  <si>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</si>
  <si>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</si>
  <si>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</si>
  <si>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</si>
  <si>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</si>
  <si>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</si>
  <si>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</si>
  <si>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</si>
  <si>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</si>
  <si>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</si>
  <si>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</si>
  <si>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</si>
  <si>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</si>
  <si>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</si>
  <si>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</si>
  <si>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</si>
  <si>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</si>
  <si>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</si>
  <si>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</si>
  <si>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</si>
  <si>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</si>
  <si>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</si>
  <si>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</si>
  <si>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</si>
  <si>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</si>
  <si>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</si>
  <si>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</si>
  <si>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</si>
  <si>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</si>
  <si>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</si>
  <si>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</si>
  <si>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</si>
  <si>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</si>
  <si>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</si>
  <si>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</si>
  <si>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</si>
  <si>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</si>
  <si>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</si>
  <si>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</si>
  <si>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</si>
  <si>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</si>
  <si>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</si>
  <si>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</si>
  <si>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</si>
  <si>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</si>
  <si>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</si>
  <si>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</si>
  <si>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</si>
  <si>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</si>
  <si>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</si>
  <si>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</si>
  <si>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</si>
  <si>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</si>
  <si>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</si>
  <si>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</si>
  <si>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</si>
  <si>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</si>
  <si>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</si>
  <si>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</si>
  <si>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</si>
  <si>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</si>
  <si>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</si>
  <si>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</si>
  <si>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</si>
  <si>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</si>
  <si>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</si>
  <si>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</si>
  <si>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</si>
  <si>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</si>
  <si>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</si>
  <si>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</si>
  <si>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</si>
  <si>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</si>
  <si>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</si>
  <si>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</si>
  <si>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</si>
  <si>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</si>
  <si>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</si>
  <si>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</si>
  <si>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</si>
  <si>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</si>
  <si>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</si>
  <si>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</si>
  <si>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</si>
  <si>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</si>
  <si>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</si>
  <si>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</si>
  <si>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</si>
  <si>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</si>
  <si>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</si>
  <si>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</si>
  <si>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</si>
  <si>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</si>
  <si>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</si>
  <si>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</si>
  <si>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</si>
  <si>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</si>
  <si>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</si>
  <si>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</si>
  <si>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</si>
  <si>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</si>
  <si>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</si>
  <si>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</si>
  <si>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</si>
  <si>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</si>
  <si>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</si>
  <si>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</si>
  <si>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</si>
  <si>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</si>
  <si>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</si>
  <si>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</si>
  <si>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</si>
  <si>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</si>
  <si>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</si>
  <si>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</si>
  <si>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</si>
  <si>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</si>
  <si>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</si>
  <si>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</si>
  <si>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</si>
  <si>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</si>
  <si>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</si>
  <si>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</si>
  <si>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</si>
  <si>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</si>
  <si>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</si>
  <si>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</si>
  <si>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</si>
  <si>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</si>
  <si>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</si>
  <si>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</si>
  <si>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</si>
  <si>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</si>
  <si>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</si>
  <si>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</si>
  <si>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</si>
  <si>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</si>
  <si>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</si>
  <si>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</si>
  <si>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</si>
  <si>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</si>
  <si>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</si>
  <si>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</si>
  <si>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</si>
  <si>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</si>
  <si>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</si>
  <si>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</si>
  <si>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</si>
  <si>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</si>
  <si>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</si>
  <si>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</si>
  <si>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………………………………………………………………………..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</si>
  <si>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</si>
  <si>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</si>
  <si>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</si>
  <si>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</si>
  <si>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</si>
  <si>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</si>
  <si>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</si>
  <si>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</si>
  <si>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</si>
  <si>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</si>
  <si>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</si>
  <si>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</si>
  <si>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</si>
  <si>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</si>
  <si>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</si>
  <si>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</si>
  <si>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</si>
  <si>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</si>
  <si>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</si>
  <si>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</si>
  <si>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</si>
  <si>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</si>
  <si>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</si>
  <si>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</si>
  <si>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</si>
  <si>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</si>
  <si>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</si>
  <si>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</si>
  <si>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</si>
  <si>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</si>
  <si>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</si>
  <si>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</si>
  <si>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</si>
  <si>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</si>
  <si>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</si>
  <si>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</si>
  <si>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</si>
  <si>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</si>
  <si>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</si>
  <si>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</si>
  <si>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</si>
  <si>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</si>
  <si>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</si>
  <si>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</si>
  <si>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</si>
  <si>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</si>
  <si>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</si>
  <si>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</si>
  <si>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</si>
  <si>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</si>
  <si>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</si>
  <si>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</si>
  <si>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</si>
  <si>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</si>
  <si>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</si>
  <si>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</si>
  <si>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</si>
  <si>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</si>
  <si>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</si>
  <si>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</si>
  <si>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</si>
  <si>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</si>
  <si>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</si>
  <si>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</si>
  <si>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</si>
  <si>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</si>
  <si>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</si>
  <si>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</si>
  <si>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</si>
  <si>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</si>
  <si>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</si>
  <si>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</si>
  <si>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</si>
  <si>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</si>
  <si>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</si>
  <si>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</si>
  <si>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</si>
  <si>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</si>
  <si>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</si>
  <si>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</si>
  <si>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</si>
  <si>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</si>
  <si>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</si>
  <si>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</si>
  <si>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</si>
  <si>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</si>
  <si>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</si>
  <si>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</si>
  <si>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</si>
  <si>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</si>
  <si>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</si>
  <si>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</si>
  <si>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</si>
  <si>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</si>
  <si>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</si>
  <si>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</si>
  <si>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</si>
  <si>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</si>
  <si>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</si>
  <si>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</si>
  <si>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</si>
  <si>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</si>
  <si>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</si>
  <si>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</si>
  <si>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</si>
  <si>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</si>
  <si>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</si>
  <si>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</si>
  <si>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</si>
  <si>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</si>
  <si>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</si>
  <si>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</si>
  <si>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</si>
  <si>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</si>
  <si>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</si>
  <si>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</si>
  <si>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</si>
  <si>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</si>
  <si>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</si>
  <si>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</si>
  <si>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</si>
  <si>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</si>
  <si>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</si>
  <si>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</si>
  <si>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</si>
  <si>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</si>
  <si>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</si>
  <si>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</si>
  <si>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</si>
  <si>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</si>
  <si>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</si>
  <si>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</si>
  <si>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</si>
  <si>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</si>
  <si>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</si>
  <si>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</si>
  <si>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</si>
  <si>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</si>
  <si>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</si>
  <si>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</si>
  <si>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</si>
  <si>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</si>
  <si>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</si>
  <si>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</si>
  <si>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</si>
  <si>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</si>
  <si>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</si>
  <si>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</si>
  <si>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</si>
  <si>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</si>
  <si>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</si>
  <si>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</si>
  <si>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</si>
  <si>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</si>
  <si>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</si>
  <si>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</si>
  <si>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</si>
  <si>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</si>
  <si>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</si>
  <si>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</si>
  <si>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</si>
  <si>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</si>
  <si>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</si>
  <si>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</si>
  <si>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</si>
  <si>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</si>
  <si>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</si>
  <si>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</si>
  <si>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</si>
  <si>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</si>
  <si>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</si>
  <si>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</si>
  <si>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</si>
  <si>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</si>
  <si>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</si>
  <si>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</si>
  <si>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</si>
  <si>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</si>
  <si>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</si>
  <si>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</si>
  <si>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</si>
  <si>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</si>
  <si>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</si>
  <si>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</si>
  <si>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</si>
  <si>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</si>
  <si>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</si>
  <si>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</si>
  <si>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</si>
  <si>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</si>
  <si>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</si>
  <si>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</si>
  <si>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</si>
  <si>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</si>
  <si>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</si>
  <si>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</si>
  <si>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</si>
  <si>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</si>
  <si>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</si>
  <si>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</si>
  <si>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</si>
  <si>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</si>
  <si>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</si>
  <si>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</si>
  <si>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</si>
  <si>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</si>
  <si>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</si>
  <si>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</si>
  <si>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</si>
  <si>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</si>
  <si>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</si>
  <si>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</si>
  <si>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</si>
  <si>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</si>
  <si>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</si>
  <si>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</si>
  <si>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</si>
  <si>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</si>
  <si>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</si>
  <si>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</si>
  <si>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</si>
  <si>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</si>
  <si>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</si>
  <si>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</si>
  <si>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</si>
  <si>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</si>
  <si>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</si>
  <si>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</si>
  <si>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</si>
  <si>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</si>
  <si>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</si>
  <si>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</si>
  <si>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</si>
  <si>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</si>
  <si>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</si>
  <si>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</si>
  <si>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</si>
  <si>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</si>
  <si>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</si>
  <si>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</si>
  <si>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</si>
  <si>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</si>
  <si>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</si>
  <si>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</si>
  <si>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</si>
  <si>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</si>
  <si>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</si>
  <si>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</si>
  <si>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</si>
  <si>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</si>
  <si>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</si>
  <si>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</si>
  <si>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</si>
  <si>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</si>
  <si>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</si>
  <si>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</si>
  <si>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</si>
  <si>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</si>
  <si>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</si>
  <si>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</si>
  <si>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</si>
  <si>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</si>
  <si>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</si>
  <si>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</si>
  <si>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</si>
  <si>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</si>
  <si>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</si>
  <si>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</si>
  <si>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</si>
  <si>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</si>
  <si>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</si>
  <si>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</si>
  <si>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</si>
  <si>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</si>
  <si>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</si>
  <si>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</si>
  <si>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</si>
  <si>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</si>
  <si>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</si>
  <si>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</si>
  <si>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</si>
  <si>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</si>
  <si>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</si>
  <si>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</si>
  <si>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</si>
  <si>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</si>
  <si>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</si>
  <si>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</si>
  <si>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</si>
  <si>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</si>
  <si>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</si>
  <si>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</si>
  <si>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</si>
  <si>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</si>
  <si>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</si>
  <si>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</si>
  <si>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</si>
  <si>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</si>
  <si>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</si>
  <si>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</si>
  <si>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</si>
  <si>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</si>
  <si>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</si>
  <si>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</si>
  <si>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</si>
  <si>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</si>
  <si>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</si>
  <si>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</si>
  <si>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</si>
  <si>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</si>
  <si>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</si>
  <si>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</si>
  <si>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</si>
  <si>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</si>
  <si>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</si>
  <si>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</si>
  <si>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</si>
  <si>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</si>
  <si>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</si>
  <si>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</si>
  <si>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</si>
  <si>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</si>
  <si>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</si>
  <si>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</si>
  <si>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</si>
  <si>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</si>
  <si>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</si>
  <si>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</si>
  <si>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</si>
  <si>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</si>
  <si>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</si>
  <si>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</si>
  <si>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</si>
  <si>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</si>
  <si>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</si>
  <si>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</si>
  <si>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</si>
  <si>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</si>
  <si>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</si>
  <si>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</si>
  <si>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</si>
  <si>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</si>
  <si>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</si>
  <si>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</si>
  <si>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</si>
  <si>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</si>
  <si>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</si>
  <si>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</si>
  <si>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</si>
  <si>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</si>
  <si>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</si>
  <si>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</si>
  <si>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</si>
  <si>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</si>
  <si>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</si>
  <si>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</si>
  <si>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</si>
  <si>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</si>
  <si>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</si>
  <si>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</si>
  <si>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</si>
  <si>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</si>
  <si>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</si>
  <si>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</si>
  <si>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</si>
  <si>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</si>
  <si>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</si>
  <si>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</si>
  <si>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</si>
  <si>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</si>
  <si>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</si>
  <si>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</si>
  <si>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</si>
  <si>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</si>
  <si>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</si>
  <si>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</si>
  <si>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</si>
  <si>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</si>
  <si>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</si>
  <si>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</si>
  <si>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</si>
  <si>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</si>
  <si>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</si>
  <si>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</si>
  <si>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</si>
  <si>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</si>
  <si>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</si>
  <si>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</si>
  <si>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</si>
  <si>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</si>
  <si>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</si>
  <si>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</si>
  <si>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</si>
  <si>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</si>
  <si>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</si>
  <si>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</si>
  <si>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</si>
  <si>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</si>
  <si>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</si>
  <si>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</si>
  <si>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</si>
  <si>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</si>
  <si>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</si>
  <si>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</si>
  <si>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</si>
  <si>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</si>
  <si>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</si>
  <si>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</si>
  <si>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</si>
  <si>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</si>
  <si>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</si>
  <si>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</si>
  <si>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</si>
  <si>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</si>
  <si>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</si>
  <si>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</si>
  <si>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</si>
  <si>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</si>
  <si>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</si>
  <si>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</si>
  <si>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</si>
  <si>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</si>
  <si>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</si>
  <si>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</si>
  <si>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</si>
  <si>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</si>
  <si>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</si>
  <si>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</si>
  <si>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</si>
  <si>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</si>
  <si>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</si>
  <si>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</si>
  <si>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</si>
  <si>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</si>
  <si>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</si>
  <si>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</si>
  <si>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</si>
  <si>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</si>
  <si>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</si>
  <si>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</si>
  <si>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</si>
  <si>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</si>
  <si>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</si>
  <si>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</si>
  <si>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</si>
  <si>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</si>
  <si>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</si>
  <si>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</si>
  <si>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</si>
  <si>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</si>
  <si>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</si>
  <si>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</si>
  <si>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</si>
  <si>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</si>
  <si>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</si>
  <si>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</si>
  <si>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</si>
  <si>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</si>
  <si>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</si>
  <si>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</si>
  <si>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</si>
  <si>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</si>
  <si>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</si>
  <si>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</si>
  <si>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</si>
  <si>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</si>
  <si>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</si>
  <si>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</si>
  <si>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</si>
  <si>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</si>
  <si>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</si>
  <si>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</si>
  <si>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</si>
  <si>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</si>
  <si>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</si>
  <si>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</si>
  <si>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</si>
  <si>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</si>
  <si>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</si>
  <si>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</si>
  <si>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</si>
  <si>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</si>
  <si>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</si>
  <si>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</si>
  <si>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</si>
  <si>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</si>
  <si>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</si>
  <si>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</si>
  <si>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</si>
  <si>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</si>
  <si>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</si>
  <si>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</si>
  <si>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</si>
  <si>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</si>
  <si>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</si>
  <si>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</si>
  <si>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</si>
  <si>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</si>
  <si>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</si>
  <si>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</si>
  <si>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</si>
  <si>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</si>
  <si>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</si>
  <si>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</si>
  <si>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</si>
  <si>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</si>
  <si>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</si>
  <si>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</si>
  <si>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</si>
  <si>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</si>
  <si>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</si>
  <si>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</si>
  <si>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</si>
  <si>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</si>
  <si>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</si>
  <si>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</si>
  <si>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</si>
  <si>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</si>
  <si>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</si>
  <si>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</si>
  <si>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</si>
  <si>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</si>
  <si>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</si>
  <si>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</si>
  <si>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</si>
  <si>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</si>
  <si>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</si>
  <si>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</si>
  <si>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</si>
  <si>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</si>
  <si>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</si>
  <si>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</si>
  <si>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</si>
  <si>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</si>
  <si>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</si>
  <si>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</si>
  <si>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</si>
  <si>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</si>
  <si>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</si>
  <si>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</si>
  <si>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</si>
  <si>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</si>
  <si>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</si>
  <si>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</si>
  <si>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</si>
  <si>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</si>
  <si>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</si>
  <si>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</si>
  <si>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</si>
  <si>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</si>
  <si>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</si>
  <si>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</si>
  <si>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</si>
  <si>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</si>
  <si>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</si>
  <si>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</si>
  <si>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</si>
  <si>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</si>
  <si>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</si>
  <si>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</si>
  <si>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</si>
  <si>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</si>
  <si>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</si>
  <si>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</si>
  <si>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</si>
  <si>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</si>
  <si>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</si>
  <si>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</si>
  <si>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</si>
  <si>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</si>
  <si>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</si>
  <si>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</si>
  <si>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</si>
  <si>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</si>
  <si>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</si>
  <si>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</si>
  <si>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</si>
  <si>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</si>
  <si>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</si>
  <si>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</si>
  <si>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</si>
  <si>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</si>
  <si>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</si>
  <si>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</si>
  <si>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</si>
  <si>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</si>
  <si>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</si>
  <si>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</si>
  <si>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</si>
  <si>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</si>
  <si>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</si>
  <si>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</si>
  <si>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</si>
  <si>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</si>
  <si>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</si>
  <si>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</si>
  <si>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</si>
  <si>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</si>
  <si>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</si>
  <si>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</si>
  <si>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</si>
  <si>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</si>
  <si>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</si>
  <si>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</si>
  <si>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</si>
  <si>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</si>
  <si>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</si>
  <si>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</si>
  <si>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</si>
  <si>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</si>
  <si>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</si>
  <si>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</si>
  <si>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</si>
  <si>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</si>
  <si>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</si>
  <si>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</si>
  <si>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</si>
  <si>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</si>
  <si>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</si>
  <si>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</si>
  <si>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</si>
  <si>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</si>
  <si>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</si>
  <si>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</si>
  <si>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</si>
  <si>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</si>
  <si>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</si>
  <si>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</si>
  <si>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</si>
  <si>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</si>
  <si>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</si>
  <si>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</si>
  <si>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</si>
  <si>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</si>
  <si>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</si>
  <si>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</si>
  <si>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</si>
  <si>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</si>
  <si>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</si>
  <si>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</si>
  <si>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</si>
  <si>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</si>
  <si>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</si>
  <si>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</si>
  <si>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</si>
  <si>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</si>
  <si>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</si>
  <si>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</si>
  <si>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</si>
  <si>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</si>
  <si>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</si>
  <si>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</si>
  <si>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</si>
  <si>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</si>
  <si>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</si>
  <si>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</si>
  <si>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</si>
  <si>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</si>
  <si>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</si>
  <si>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</si>
  <si>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</si>
  <si>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</si>
  <si>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</si>
  <si>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</si>
  <si>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</si>
  <si>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</si>
  <si>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</si>
  <si>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</si>
  <si>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</si>
  <si>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</si>
  <si>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</si>
  <si>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</si>
  <si>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</si>
  <si>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</si>
  <si>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</si>
  <si>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</si>
  <si>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</si>
  <si>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</si>
  <si>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</si>
  <si>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</si>
  <si>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</si>
  <si>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</si>
  <si>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</si>
  <si>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</si>
  <si>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</si>
  <si>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</si>
  <si>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</si>
  <si>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</si>
  <si>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</si>
  <si>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</si>
  <si>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</si>
  <si>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</si>
  <si>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</si>
  <si>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</si>
  <si>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</si>
  <si>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</si>
  <si>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</si>
  <si>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</si>
  <si>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</si>
  <si>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</si>
  <si>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</si>
  <si>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</si>
  <si>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</si>
  <si>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</si>
  <si>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</si>
  <si>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</si>
  <si>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</si>
  <si>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</si>
  <si>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</si>
  <si>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</si>
  <si>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</si>
  <si>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</si>
  <si>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</si>
  <si>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</si>
  <si>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</si>
  <si>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</si>
  <si>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</si>
  <si>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</si>
  <si>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</si>
  <si>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</si>
  <si>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</si>
  <si>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</si>
  <si>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</si>
  <si>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</si>
  <si>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</si>
  <si>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</si>
  <si>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</si>
  <si>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</si>
  <si>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</si>
  <si>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</si>
  <si>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</si>
  <si>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</si>
  <si>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</si>
  <si>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</si>
  <si>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</si>
  <si>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</si>
  <si>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</si>
  <si>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</si>
  <si>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</si>
  <si>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</si>
  <si>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</si>
  <si>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</si>
  <si>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</si>
  <si>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</si>
  <si>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</si>
  <si>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</si>
  <si>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</si>
  <si>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</si>
  <si>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</si>
  <si>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</si>
  <si>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</si>
  <si>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</si>
  <si>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</si>
  <si>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</si>
  <si>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</si>
  <si>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</si>
  <si>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</si>
  <si>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</si>
  <si>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</si>
  <si>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</si>
  <si>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</si>
  <si>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</si>
  <si>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</si>
  <si>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</si>
  <si>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</si>
  <si>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</si>
  <si>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</si>
  <si>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</si>
  <si>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</si>
  <si>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</si>
  <si>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</si>
  <si>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</si>
  <si>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</si>
  <si>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</si>
  <si>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</si>
  <si>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</si>
  <si>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</si>
  <si>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</si>
  <si>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</si>
  <si>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</si>
  <si>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</si>
  <si>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</si>
  <si>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</si>
  <si>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</si>
  <si>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</si>
  <si>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</si>
  <si>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</si>
  <si>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</si>
  <si>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</si>
  <si>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</si>
  <si>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</si>
  <si>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</si>
  <si>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</si>
  <si>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</si>
  <si>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</si>
  <si>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</si>
  <si>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</si>
  <si>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</si>
  <si>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</si>
  <si>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</si>
  <si>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</si>
  <si>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</si>
  <si>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</si>
  <si>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</si>
  <si>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</si>
  <si>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</si>
  <si>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</si>
  <si>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</si>
  <si>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</si>
  <si>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</si>
  <si>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</si>
  <si>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</si>
  <si>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</si>
  <si>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</si>
  <si>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</si>
  <si>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</si>
  <si>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</si>
  <si>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</si>
  <si>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</si>
  <si>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</si>
  <si>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</si>
  <si>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</si>
  <si>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</si>
  <si>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</si>
  <si>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</si>
  <si>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</si>
  <si>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</si>
  <si>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</si>
  <si>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</si>
  <si>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</si>
  <si>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</si>
  <si>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</si>
  <si>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</si>
  <si>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</si>
  <si>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</si>
  <si>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</si>
  <si>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</si>
  <si>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</si>
  <si>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</si>
  <si>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</si>
  <si>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</si>
  <si>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</si>
  <si>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</si>
  <si>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</si>
  <si>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</si>
  <si>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</si>
  <si>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</si>
  <si>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</si>
  <si>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</si>
  <si>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</si>
  <si>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</si>
  <si>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</si>
  <si>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</si>
  <si>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</si>
  <si>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</si>
  <si>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</si>
  <si>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</si>
  <si>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</si>
  <si>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</si>
  <si>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</si>
  <si>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</si>
  <si>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</si>
  <si>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</si>
  <si>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</si>
  <si>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</si>
  <si>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</si>
  <si>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</si>
  <si>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</si>
  <si>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</si>
  <si>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</si>
  <si>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</si>
  <si>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</si>
  <si>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</si>
  <si>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</si>
  <si>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</si>
  <si>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</si>
  <si>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</si>
  <si>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</si>
  <si>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</si>
  <si>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</si>
  <si>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</si>
  <si>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</si>
  <si>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</si>
  <si>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</si>
  <si>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</si>
  <si>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</si>
  <si>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</si>
  <si>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</si>
  <si>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</si>
  <si>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</si>
  <si>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</si>
  <si>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</si>
  <si>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</si>
  <si>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</si>
  <si>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</si>
  <si>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</si>
  <si>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</si>
  <si>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</si>
  <si>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</si>
  <si>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</si>
  <si>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</si>
  <si>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</si>
  <si>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</si>
  <si>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</si>
  <si>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</si>
  <si>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</si>
  <si>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</si>
  <si>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</si>
  <si>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</si>
  <si>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</si>
  <si>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</si>
  <si>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</si>
  <si>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</si>
  <si>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</si>
  <si>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</si>
  <si>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</si>
  <si>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</si>
  <si>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</si>
  <si>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</si>
  <si>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</si>
  <si>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</si>
  <si>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</si>
  <si>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</si>
  <si>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</si>
  <si>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</si>
  <si>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</si>
  <si>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</si>
  <si>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</si>
  <si>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</si>
  <si>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</si>
  <si>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</si>
  <si>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</si>
  <si>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</si>
  <si>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</si>
  <si>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</si>
  <si>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</si>
  <si>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</si>
  <si>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</si>
  <si>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</si>
  <si>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</si>
  <si>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</si>
  <si>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</si>
  <si>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</si>
  <si>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</si>
  <si>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</si>
  <si>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</si>
  <si>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</si>
  <si>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</si>
  <si>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</si>
  <si>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</si>
  <si>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</si>
  <si>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</si>
  <si>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</si>
  <si>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</si>
  <si>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</si>
  <si>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</si>
  <si>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</si>
  <si>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</si>
  <si>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</si>
  <si>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</si>
  <si>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</si>
  <si>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</si>
  <si>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</si>
  <si>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</si>
  <si>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</si>
  <si>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</si>
  <si>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</si>
  <si>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</si>
  <si>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</si>
  <si>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</si>
  <si>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</si>
  <si>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</si>
  <si>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</si>
  <si>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</si>
  <si>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</si>
  <si>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</si>
  <si>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</si>
  <si>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</si>
  <si>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</si>
  <si>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</si>
  <si>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</si>
  <si>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</si>
  <si>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</si>
  <si>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</si>
  <si>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</si>
  <si>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</si>
  <si>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</si>
  <si>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</si>
  <si>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</si>
  <si>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</si>
  <si>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</si>
  <si>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</si>
  <si>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</si>
  <si>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</si>
  <si>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</si>
  <si>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</si>
  <si>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</si>
  <si>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</si>
  <si>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</si>
  <si>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</si>
  <si>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</si>
  <si>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</si>
  <si>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</si>
  <si>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</si>
  <si>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</si>
  <si>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</si>
  <si>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</si>
  <si>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</si>
  <si>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</si>
  <si>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</si>
  <si>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</si>
  <si>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</si>
  <si>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</si>
  <si>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</si>
  <si>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</si>
  <si>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</si>
  <si>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</si>
  <si>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</si>
  <si>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</si>
  <si>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</si>
  <si>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</si>
  <si>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</si>
  <si>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</si>
  <si>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</si>
  <si>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</si>
  <si>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</si>
  <si>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</si>
  <si>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</si>
  <si>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</si>
  <si>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</si>
  <si>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</si>
  <si>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</si>
  <si>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</si>
  <si>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</si>
  <si>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</si>
  <si>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</si>
  <si>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</si>
  <si>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</si>
  <si>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</si>
  <si>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</si>
  <si>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</si>
  <si>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</si>
  <si>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</si>
  <si>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</si>
  <si>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</si>
  <si>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</si>
  <si>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</si>
  <si>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</si>
  <si>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</si>
  <si>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</si>
  <si>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</si>
  <si>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</si>
  <si>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</si>
  <si>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</si>
  <si>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</si>
  <si>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</si>
  <si>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</si>
  <si>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</si>
  <si>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</si>
  <si>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</si>
  <si>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</si>
  <si>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</si>
  <si>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</si>
  <si>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</si>
  <si>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</si>
  <si>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</si>
  <si>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</si>
  <si>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</si>
  <si>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</si>
  <si>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</si>
  <si>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</si>
  <si>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</si>
  <si>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</si>
  <si>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</si>
  <si>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</si>
  <si>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</si>
  <si>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</si>
  <si>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</si>
  <si>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</si>
  <si>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</si>
  <si>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</si>
  <si>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</si>
  <si>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</si>
  <si>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</si>
  <si>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</si>
  <si>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</si>
  <si>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</si>
  <si>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</si>
  <si>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</si>
  <si>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</si>
  <si>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</si>
  <si>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</si>
  <si>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</si>
  <si>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</si>
  <si>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</si>
  <si>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</si>
  <si>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</si>
  <si>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</si>
  <si>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</si>
  <si>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</si>
  <si>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</si>
  <si>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</si>
  <si>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</si>
  <si>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</si>
  <si>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</si>
  <si>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</si>
  <si>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</si>
  <si>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</si>
  <si>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</si>
  <si>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</si>
  <si>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</si>
  <si>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</si>
  <si>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</si>
  <si>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</si>
  <si>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</si>
  <si>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</si>
  <si>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</si>
  <si>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</si>
  <si>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</si>
  <si>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</si>
  <si>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</si>
  <si>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</si>
  <si>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</si>
  <si>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</si>
  <si>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</si>
  <si>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</si>
  <si>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</si>
  <si>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</si>
  <si>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</si>
  <si>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</si>
  <si>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</si>
  <si>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</si>
  <si>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</si>
  <si>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</si>
  <si>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</si>
  <si>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</si>
  <si>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</si>
  <si>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</si>
  <si>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</si>
  <si>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</si>
  <si>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</si>
  <si>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</si>
  <si>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</si>
  <si>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</si>
  <si>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</si>
  <si>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</si>
  <si>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</si>
  <si>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</si>
  <si>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</si>
  <si>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</si>
  <si>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</si>
  <si>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</si>
  <si>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</si>
  <si>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</si>
  <si>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</si>
  <si>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</si>
  <si>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</si>
  <si>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</si>
  <si>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</si>
  <si>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</si>
  <si>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</si>
  <si>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</si>
  <si>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</si>
  <si>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</si>
  <si>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</si>
  <si>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</si>
  <si>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</si>
  <si>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</si>
  <si>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</si>
  <si>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</si>
  <si>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</si>
  <si>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</si>
  <si>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</si>
  <si>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</si>
  <si>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</si>
  <si>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</si>
  <si>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</si>
  <si>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</si>
  <si>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</si>
  <si>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</si>
  <si>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</si>
  <si>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</si>
  <si>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</si>
  <si>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</si>
  <si>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</si>
  <si>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</si>
  <si>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</si>
  <si>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</si>
  <si>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</si>
  <si>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</si>
  <si>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</si>
  <si>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</si>
  <si>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</si>
  <si>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</si>
  <si>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</si>
  <si>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</si>
  <si>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</si>
  <si>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</si>
  <si>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</si>
  <si>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</si>
  <si>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</si>
  <si>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</si>
  <si>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</si>
  <si>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</si>
  <si>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</si>
  <si>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</si>
  <si>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</si>
  <si>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</si>
  <si>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</si>
  <si>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</si>
  <si>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</si>
  <si>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</si>
  <si>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</si>
  <si>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</si>
  <si>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</si>
  <si>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</si>
  <si>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</si>
  <si>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</si>
  <si>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</si>
  <si>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</si>
  <si>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</si>
  <si>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</si>
  <si>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</si>
  <si>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</si>
  <si>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</si>
  <si>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</si>
  <si>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</si>
  <si>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</si>
  <si>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</si>
  <si>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</si>
  <si>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</si>
  <si>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</si>
  <si>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</si>
  <si>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</si>
  <si>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</si>
  <si>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</si>
  <si>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</si>
  <si>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</si>
  <si>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</si>
  <si>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</si>
  <si>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</si>
  <si>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</si>
  <si>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</si>
  <si>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</si>
  <si>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</si>
  <si>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</si>
  <si>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</si>
  <si>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</si>
  <si>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</si>
  <si>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</si>
  <si>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</si>
  <si>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</si>
  <si>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</si>
  <si>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</si>
  <si>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</si>
  <si>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</si>
  <si>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</si>
  <si>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</si>
  <si>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</si>
  <si>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</si>
  <si>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</si>
  <si>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</si>
  <si>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</si>
  <si>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</si>
  <si>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</si>
  <si>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</si>
  <si>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</si>
  <si>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</si>
  <si>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</si>
  <si>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</si>
  <si>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</si>
  <si>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</si>
  <si>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</si>
  <si>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</si>
  <si>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</si>
  <si>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</si>
  <si>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</si>
  <si>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</si>
  <si>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</si>
  <si>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</si>
  <si>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</si>
  <si>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</si>
  <si>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</si>
  <si>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</si>
  <si>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</si>
  <si>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</si>
  <si>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</si>
  <si>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</si>
  <si>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</si>
  <si>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</si>
  <si>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</si>
  <si>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</si>
  <si>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</si>
  <si>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</si>
  <si>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</si>
  <si>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</si>
  <si>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</si>
  <si>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</si>
  <si>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</si>
  <si>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</si>
  <si>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</si>
  <si>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</si>
  <si>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</si>
  <si>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</si>
  <si>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</si>
  <si>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</si>
  <si>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</si>
  <si>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</si>
  <si>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</si>
  <si>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</si>
  <si>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</si>
  <si>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</si>
  <si>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</si>
  <si>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</si>
  <si>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</si>
  <si>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</si>
  <si>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</si>
  <si>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</si>
  <si>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</si>
  <si>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</si>
  <si>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</si>
  <si>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</si>
  <si>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</si>
  <si>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</si>
  <si>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</si>
  <si>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</si>
  <si>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</si>
  <si>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</si>
  <si>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</si>
  <si>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</si>
  <si>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</si>
  <si>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</si>
  <si>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</si>
  <si>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</si>
  <si>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</si>
  <si>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</si>
  <si>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</si>
  <si>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</si>
  <si>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</si>
  <si>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</si>
  <si>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</si>
  <si>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</si>
  <si>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</si>
  <si>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</si>
  <si>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</si>
  <si>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</si>
  <si>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</si>
  <si>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</si>
  <si>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</si>
  <si>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</si>
  <si>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</si>
  <si>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</si>
  <si>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340ONER.GES</t>
  </si>
  <si>
    <t>340SANZ.AMM</t>
  </si>
  <si>
    <t>305BOLL.MAR</t>
  </si>
  <si>
    <t>305AB.RIVIS</t>
  </si>
  <si>
    <t>Distribuzione farmaci da privato</t>
  </si>
  <si>
    <t>Compenso servizio distribuzione per conto (DPC)</t>
  </si>
  <si>
    <t>Esercizio 
2022</t>
  </si>
  <si>
    <t>Esercizio 
2023</t>
  </si>
  <si>
    <t>VARIAZIONE 2023/2022</t>
  </si>
  <si>
    <t>IMPORTO
2021</t>
  </si>
  <si>
    <t>IMPORTO
2023</t>
  </si>
  <si>
    <t>(Centesimi di euro)</t>
  </si>
  <si>
    <t>Importo
2022</t>
  </si>
  <si>
    <t>Importo
2023</t>
  </si>
  <si>
    <t>Stato Patrimoniale Passivo</t>
  </si>
  <si>
    <t>CODICE VOCE 
SP Ministeriale</t>
  </si>
  <si>
    <t>PATRIMONIO NETTO</t>
  </si>
  <si>
    <t>FONDO DI DOTAZIONE</t>
  </si>
  <si>
    <t>PAA000</t>
  </si>
  <si>
    <t>FINANZIAMENTI PER INVESTIMENTI</t>
  </si>
  <si>
    <t>Finanziamenti per beni di prima dotazione</t>
  </si>
  <si>
    <t>PAA020</t>
  </si>
  <si>
    <t>Finanziamenti da Stato per investimenti</t>
  </si>
  <si>
    <t>Finanziamenti da Stato per investimenti - ex art. 20 legge 67/88</t>
  </si>
  <si>
    <t>PAA040</t>
  </si>
  <si>
    <t>Finanziamenti da Stato per investimenti - ricerca</t>
  </si>
  <si>
    <t>PAA050</t>
  </si>
  <si>
    <t>Finanziamenti da Stato per investimenti - altro</t>
  </si>
  <si>
    <t>PAA060</t>
  </si>
  <si>
    <t>Finanziamenti da Regione per investimenti</t>
  </si>
  <si>
    <t>PAA070</t>
  </si>
  <si>
    <t>Contributi regionali in c/capitale indistinti</t>
  </si>
  <si>
    <t>Contributi regionali in c/capitale vincolati</t>
  </si>
  <si>
    <t>Finanziamenti da altri soggetti pubblici per investimenti</t>
  </si>
  <si>
    <t>PAA080</t>
  </si>
  <si>
    <t>Contributi per rimborso mutui</t>
  </si>
  <si>
    <t>Altri contributi</t>
  </si>
  <si>
    <t>Finanziamenti per investimenti da rettifica contributi in conto esercizio</t>
  </si>
  <si>
    <t>PAA090</t>
  </si>
  <si>
    <t>RISERVE DA DONAZIONI E LASCITI VINCOLATI AD INVESTIMENTI</t>
  </si>
  <si>
    <t>PAA100</t>
  </si>
  <si>
    <t>ALTRE RISERVE</t>
  </si>
  <si>
    <t>Riserve da rivalutazioni</t>
  </si>
  <si>
    <t>PAA120</t>
  </si>
  <si>
    <t>Riserve da plusvalenze da reinvestire</t>
  </si>
  <si>
    <t>PAA130</t>
  </si>
  <si>
    <t>Contributi da reinvestire</t>
  </si>
  <si>
    <t>PAA140</t>
  </si>
  <si>
    <t>Riserve da utili di esercizio destinati ad investimenti</t>
  </si>
  <si>
    <t>PAA150</t>
  </si>
  <si>
    <t>Riserve diverse</t>
  </si>
  <si>
    <t>PAA160</t>
  </si>
  <si>
    <t>CONTRIBUTI PER RIPIANO PERDITE</t>
  </si>
  <si>
    <t>Contributi per copertura debiti al 31/12/2005</t>
  </si>
  <si>
    <t>PAA180</t>
  </si>
  <si>
    <r>
      <t>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</si>
  <si>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PAA190</t>
  </si>
  <si>
    <t>Altro</t>
  </si>
  <si>
    <t>PAA200</t>
  </si>
  <si>
    <t>UTILI (PERDITE) PORTATI A NUOVO</t>
  </si>
  <si>
    <t>PAA210</t>
  </si>
  <si>
    <t>UTILE (PERDITA) D'ESERCIZIO</t>
  </si>
  <si>
    <t>PAA220</t>
  </si>
  <si>
    <t>FONDI AMMORTAMENTO e FONDI SVALUTAZIONE</t>
  </si>
  <si>
    <t>FONDI AMMORTAMENTO IMMOBILIZZAZIONI IMMATERIALI</t>
  </si>
  <si>
    <t>F.do Amm.to costi di impianto e di ampliamento</t>
  </si>
  <si>
    <t>AAA030</t>
  </si>
  <si>
    <t>F.do Amm.to costi di ricerca e sviluppo</t>
  </si>
  <si>
    <t>AAA060</t>
  </si>
  <si>
    <t>F.do Amm.to diritti di brevetto e diritti di utilizzazione delle opere d'ingegno - derivanti dall'attività di ricerca</t>
  </si>
  <si>
    <t>AAA090</t>
  </si>
  <si>
    <t>F.do Amm.to diritti di brevetto e diritti di utilizzazione delle opere d'ingegno - altri</t>
  </si>
  <si>
    <t>AAA110</t>
  </si>
  <si>
    <t>F.do Amm.to concessioni, licenze, marchi e diritti simili</t>
  </si>
  <si>
    <t>AAA150</t>
  </si>
  <si>
    <t>F.do Amm.to migliorie su beni di terzi</t>
  </si>
  <si>
    <t>AAA170</t>
  </si>
  <si>
    <t>F.do Amm.to pubblicità</t>
  </si>
  <si>
    <t>AAA190</t>
  </si>
  <si>
    <t>F.do Amm.to altre immobilizzazioni immateriali</t>
  </si>
  <si>
    <t>AAA210</t>
  </si>
  <si>
    <t>FONDI AMMORTAMENTO IMMOBILIZZAZIONI MATERIALI</t>
  </si>
  <si>
    <t>F.do Amm.to Fabbricati non strumentali (disponibili)</t>
  </si>
  <si>
    <t>AAA340</t>
  </si>
  <si>
    <t>F.do Amm.to Fabbricati strumentali (indisponibili)</t>
  </si>
  <si>
    <t>AAA370</t>
  </si>
  <si>
    <t>F.do Amm.to Impianti e macchinari</t>
  </si>
  <si>
    <t>AAA400</t>
  </si>
  <si>
    <t>F.do Amm.to Attrezzature sanitarie e scientifiche</t>
  </si>
  <si>
    <t>AAA430</t>
  </si>
  <si>
    <t>F.do Amm.to Mobili e arredi</t>
  </si>
  <si>
    <t>AAA460</t>
  </si>
  <si>
    <t>F.do Amm.to Automezzi</t>
  </si>
  <si>
    <t>AAA490</t>
  </si>
  <si>
    <t>F.do Amm.to Altre immobilizzazioni materiali</t>
  </si>
  <si>
    <t>AAA530</t>
  </si>
  <si>
    <t>FONDI SVALUTAZIONE IMMOBILIZZAZIONI IMMATERIALI</t>
  </si>
  <si>
    <t>F.do Svalut. Costi di impianto e di ampliamento</t>
  </si>
  <si>
    <t>AAA230</t>
  </si>
  <si>
    <t>F.do Svalut. Costi di ricerca e sviluppo</t>
  </si>
  <si>
    <t>AAA240</t>
  </si>
  <si>
    <t>F.do Svalut. Diritti di brevetto e diritti di utilizzazione delle opere d'ingegno</t>
  </si>
  <si>
    <t>AAA250</t>
  </si>
  <si>
    <t>F.do Svalut. Altre immobilizzazioni immateriali</t>
  </si>
  <si>
    <t>AAA260</t>
  </si>
  <si>
    <t>FONDI SVALUTAZIONE IMMOBILIZZAZIONI MATERIALI</t>
  </si>
  <si>
    <t>F.do Svalut. Terreni disponibili</t>
  </si>
  <si>
    <t>AAA560</t>
  </si>
  <si>
    <t>F.do Svalut. Terreni indisponibili</t>
  </si>
  <si>
    <t>F.do Svalut. Fabbricati disponibili</t>
  </si>
  <si>
    <t>AAA570</t>
  </si>
  <si>
    <t>F.do Svalut. Fabbricati indisponibili</t>
  </si>
  <si>
    <t>F.do Svalut. Impianti e macchinari</t>
  </si>
  <si>
    <t>AAA580</t>
  </si>
  <si>
    <t>F.do Svalut. Attrezzature sanitarie e scientifiche</t>
  </si>
  <si>
    <t>AAA590</t>
  </si>
  <si>
    <t>F.do Svalut. Mobili e arredi</t>
  </si>
  <si>
    <t>AAA600</t>
  </si>
  <si>
    <t>F.do Svalut. Automezzi</t>
  </si>
  <si>
    <t>AAA610</t>
  </si>
  <si>
    <t>F.do Svalut. Oggetti d'arte</t>
  </si>
  <si>
    <t>AAA620</t>
  </si>
  <si>
    <t>F.do Svalut. Altre immobilizzazioni materiali</t>
  </si>
  <si>
    <t>AAA630</t>
  </si>
  <si>
    <t>FONDI SVALUTAZIONE CREDITI</t>
  </si>
  <si>
    <t>Fondo svalutazione Crediti finanziari v/Stato</t>
  </si>
  <si>
    <t>AAA660</t>
  </si>
  <si>
    <t>Fondo svalutazione Crediti finanziari v/Regione</t>
  </si>
  <si>
    <t>AAA670</t>
  </si>
  <si>
    <t>Fondo svalutazione Crediti finanziari v/partecipate</t>
  </si>
  <si>
    <t>AAA680</t>
  </si>
  <si>
    <t>Fondo svalutazione Crediti finanziari v/altri</t>
  </si>
  <si>
    <t>AAA690</t>
  </si>
  <si>
    <t>Fondo Svalutazione Crediti v/Stato per spesa corrente - FSN indistinto</t>
  </si>
  <si>
    <t>ABA201</t>
  </si>
  <si>
    <t>Fondo Svalutazione Crediti v/Stato per spesa corrente - FSN vincolato</t>
  </si>
  <si>
    <t>ABA220</t>
  </si>
  <si>
    <t>Fondo Svalutazione Crediti v/Stato per mobilità attiva extraregionale</t>
  </si>
  <si>
    <t>ABA230</t>
  </si>
  <si>
    <t>Fondo Svalutazione Crediti v/Stato per mobilità attiva internazionale</t>
  </si>
  <si>
    <t>ABA240</t>
  </si>
  <si>
    <t>Fondo Svalutazione Crediti v/Stato per acconto quota fabbisogno sanitario regionale standard</t>
  </si>
  <si>
    <t>ABA250</t>
  </si>
  <si>
    <t>Fondo Svalutazione Crediti v/Stato per finanziamento sanitario aggiuntivo corrente</t>
  </si>
  <si>
    <t>ABA260</t>
  </si>
  <si>
    <t>Fondo Svalutazione  Crediti v/Stato per spesa corrente - altro</t>
  </si>
  <si>
    <t>ABA270</t>
  </si>
  <si>
    <t>Fondo Svalutazione Crediti v/Stato per spesa corrente per STP (ex D.lgs. 286/98)</t>
  </si>
  <si>
    <t>ABA271</t>
  </si>
  <si>
    <t>Fondo Svalutazione Crediti v/Stato per finanziamenti per investimenti</t>
  </si>
  <si>
    <t>ABA280</t>
  </si>
  <si>
    <t>Fondo Svalutazione Crediti v/Stato per ricerca corrente - Ministero della Salute</t>
  </si>
  <si>
    <t>ABA300</t>
  </si>
  <si>
    <t>Fondo Svalutazione Crediti v/Stato per ricerca finalizzata - Ministero della Salute</t>
  </si>
  <si>
    <t>ABA310</t>
  </si>
  <si>
    <t xml:space="preserve">Fondo Svalutazione Crediti v/Stato per ricerca - altre Amministrazioni centrali </t>
  </si>
  <si>
    <t>ABA320</t>
  </si>
  <si>
    <t>Fondo Svalutazione Crediti v/Stato per ricerca - finanziamenti per investimenti</t>
  </si>
  <si>
    <t>ABA330</t>
  </si>
  <si>
    <t>Fondo Svalutazione Crediti v/prefetture</t>
  </si>
  <si>
    <t>ABA340</t>
  </si>
  <si>
    <t>Fondo Svalutazione Crediti v/Regione o Provincia Autonoma per quota FSR</t>
  </si>
  <si>
    <t>ABA390</t>
  </si>
  <si>
    <t>Fondo Svalutazione  Crediti v/Regione o Provincia Autonoma per mobilità attiva intraregionale</t>
  </si>
  <si>
    <t>ABA400</t>
  </si>
  <si>
    <t>Fondo Svalutazione  Crediti v/Regione o Provincia Autonoma per mobilità attiva extraregionale</t>
  </si>
  <si>
    <t>ABA410</t>
  </si>
  <si>
    <t>Fondo Svalutazione  Crediti v/Regione o Provincia Autonoma per acconto quota FSR</t>
  </si>
  <si>
    <t>ABA420</t>
  </si>
  <si>
    <t>Fondo Svalutazione Crediti v/Regione o Provincia Autonoma per finanziamento sanitario aggiuntivo corrente LEA</t>
  </si>
  <si>
    <t>ABA430</t>
  </si>
  <si>
    <t>Fondo Svalutazione  Crediti v/Regione o Provincia Autonoma per finanziamento sanitario aggiuntivo corrente extra LEA</t>
  </si>
  <si>
    <t>ABA440</t>
  </si>
  <si>
    <t>Fondo Svalutazione  Crediti v/Regione o Provincia Autonoma per spesa corrente - altro</t>
  </si>
  <si>
    <t>ABA450</t>
  </si>
  <si>
    <t>Fondo Svalutazione Crediti v/Regione o Provincia Autonoma per spesa corrente - STP (ex D.lgs. 286/98)</t>
  </si>
  <si>
    <t>ABA451</t>
  </si>
  <si>
    <t>Fondo Svalutazione Crediti v/Regione o Provincia Autonoma per ricerca</t>
  </si>
  <si>
    <t>ABA460</t>
  </si>
  <si>
    <t>Fondo Svalutazione Crediti v/Regione o Provincia Autonoma per mobilità attiva internazionale</t>
  </si>
  <si>
    <t>ABA461</t>
  </si>
  <si>
    <t>Fondo Svalutazione Crediti v/Regione o Provincia Autonoma per finanziamenti per investimenti</t>
  </si>
  <si>
    <t>ABA480</t>
  </si>
  <si>
    <t>Fondo Svalutazione Crediti v/Regione o Provincia Autonoma per incremento fondo dotazione</t>
  </si>
  <si>
    <t>ABA490</t>
  </si>
  <si>
    <t>Fondo Svalutazione Crediti v/Regione o Provincia Autonoma per ripiano perdite</t>
  </si>
  <si>
    <t>ABA500</t>
  </si>
  <si>
    <t>Fondo Svalutazione Crediti v/Regione per copertura debiti al 31/12/2005</t>
  </si>
  <si>
    <t>ABA510</t>
  </si>
  <si>
    <t>Fondo Svalutazione Crediti v/Regione o Provincia Autonoma per ricostituzione risorse da investimenti esercizi precedenti</t>
  </si>
  <si>
    <t>ABA520</t>
  </si>
  <si>
    <t>Fondo Svalutazione Crediti v/Comuni</t>
  </si>
  <si>
    <t>ABA530</t>
  </si>
  <si>
    <t>ABA560</t>
  </si>
  <si>
    <t>ABA570</t>
  </si>
  <si>
    <t>ABA580</t>
  </si>
  <si>
    <t>ABA590</t>
  </si>
  <si>
    <t>Fondo Svalutazione Crediti v/Aziende sanitarie pubbliche Extraregione</t>
  </si>
  <si>
    <t>ABA600</t>
  </si>
  <si>
    <t>Fondo Svalutazione Crediti v/enti regionali</t>
  </si>
  <si>
    <t>ABA620</t>
  </si>
  <si>
    <t>Fondo Svalutazione Crediti v/sperimentazioni gestionali</t>
  </si>
  <si>
    <t>ABA630</t>
  </si>
  <si>
    <t>Fondo Svalutazione Crediti v/altre partecipate</t>
  </si>
  <si>
    <t>ABA640</t>
  </si>
  <si>
    <t>Fondo Svalutazione Crediti v/Erario</t>
  </si>
  <si>
    <t>ABA650</t>
  </si>
  <si>
    <t>Fondo Svalutazione Crediti v/clienti privati</t>
  </si>
  <si>
    <t>ABA670</t>
  </si>
  <si>
    <t>Fondo Svalutazione Crediti v/gestioni liquidatorie</t>
  </si>
  <si>
    <t>ABA680</t>
  </si>
  <si>
    <t>Fondo Svalutazione Crediti v/altri soggetti pubblici</t>
  </si>
  <si>
    <t>ABA690</t>
  </si>
  <si>
    <t>Fondo Svalutazione Crediti v/altri soggetti pubblici per ricerca</t>
  </si>
  <si>
    <t>ABA700</t>
  </si>
  <si>
    <t>Fondo Svalutazione Altri crediti diversi</t>
  </si>
  <si>
    <t>ABA710</t>
  </si>
  <si>
    <t>Fondo Svalutazione  Altri Crediti verso erogatori (privati accreditati e convenzionati) di prestazioni sanitarie</t>
  </si>
  <si>
    <t>ABA711</t>
  </si>
  <si>
    <t>FONDI PER RISCHI E ONERI</t>
  </si>
  <si>
    <t>FONDI PER IMPOSTE, ANCHE DIFFERITE</t>
  </si>
  <si>
    <t>PBA000</t>
  </si>
  <si>
    <t>FONDI PER RISCHI</t>
  </si>
  <si>
    <t>Fondo rischi per cause civili ed oneri processuali</t>
  </si>
  <si>
    <t>PBA020</t>
  </si>
  <si>
    <t>Fondo rischi per contenzioso personale dipendente</t>
  </si>
  <si>
    <t>PBA030</t>
  </si>
  <si>
    <t>Fondo rischi connessi all'acquisto di prestazioni sanitarie da privato</t>
  </si>
  <si>
    <t>PBA040</t>
  </si>
  <si>
    <t>Fondo rischi per copertura diretta dei rischi (autoassicurazione)</t>
  </si>
  <si>
    <t>PBA050</t>
  </si>
  <si>
    <t>Fondo rischi per franchigia assicurativa</t>
  </si>
  <si>
    <t>PBA051</t>
  </si>
  <si>
    <t>Fondo rischi per interessi di mora</t>
  </si>
  <si>
    <t>PBA052</t>
  </si>
  <si>
    <t>Altri fondi rischi</t>
  </si>
  <si>
    <t>PBA060</t>
  </si>
  <si>
    <t>Fondo equo indennizzo</t>
  </si>
  <si>
    <t>Fondo accordi bonari</t>
  </si>
  <si>
    <t>FONDI DA DISTRIBUIRE</t>
  </si>
  <si>
    <t>FSR indistinto da distribuire</t>
  </si>
  <si>
    <t>PBA080</t>
  </si>
  <si>
    <t>FSR vincolato da distribuire</t>
  </si>
  <si>
    <t>PBA090</t>
  </si>
  <si>
    <t>Fondo per ripiano disavanzi pregressi</t>
  </si>
  <si>
    <t>PBA100</t>
  </si>
  <si>
    <t>Fondo finanziamento sanitario aggiuntivo corrente LEA</t>
  </si>
  <si>
    <t>PBA110</t>
  </si>
  <si>
    <t>Fondo finanziamento sanitario aggiuntivo corrente extra LEA</t>
  </si>
  <si>
    <t>PBA120</t>
  </si>
  <si>
    <t>Fondo finanziamento per ricerca</t>
  </si>
  <si>
    <t>PBA130</t>
  </si>
  <si>
    <t>Fondo finanziamento per investimenti</t>
  </si>
  <si>
    <t>PBA140</t>
  </si>
  <si>
    <t>Fondo finanziamento sanitario aggiuntivo corrente (extra fondo) - Risorse aggiuntive da bilancio regionale a titolo di copertura extra LEA</t>
  </si>
  <si>
    <t>PBA141</t>
  </si>
  <si>
    <t>QUOTE INUTILIZZATE CONTRIBUTI</t>
  </si>
  <si>
    <t>PBA150</t>
  </si>
  <si>
    <t xml:space="preserve"> Quote inutilizzate contributi da Regione o Prov. Aut. per quota F.S. indistinto finalizzato</t>
  </si>
  <si>
    <t>PBA151</t>
  </si>
  <si>
    <t>Quote inutilizzate contributi da Regione o Prov. Aut. per quota F.S. vincolato</t>
  </si>
  <si>
    <t>PBA160</t>
  </si>
  <si>
    <t>Quote inutilizzate contributi vincolati da soggetti pubblici (extra fondo)</t>
  </si>
  <si>
    <t>PBA170</t>
  </si>
  <si>
    <t>Quote inutilizzate contributi per ricerca</t>
  </si>
  <si>
    <t>PBA180</t>
  </si>
  <si>
    <t>Quote inutilizzate contributi vincolati da privati</t>
  </si>
  <si>
    <t>PBA190</t>
  </si>
  <si>
    <t>Quote inutilizzate contributi vincolati da privati - sperimentazioni</t>
  </si>
  <si>
    <t>Quote inutilizzate contributi vincolati da privati - altro</t>
  </si>
  <si>
    <t>ALTRI FONDI PER ONERI E SPESE</t>
  </si>
  <si>
    <t>Fondi integrativi pensione</t>
  </si>
  <si>
    <t>PBA210</t>
  </si>
  <si>
    <t>Fondi rinnovi contrattuali</t>
  </si>
  <si>
    <t xml:space="preserve">Fondo rinnovi contrattuali personale dipendente </t>
  </si>
  <si>
    <t>PBA230</t>
  </si>
  <si>
    <t>Fondo rinnovi convenzioni MMG/PLS/MCA</t>
  </si>
  <si>
    <t>PBA240</t>
  </si>
  <si>
    <t>Fondo rinnovi convenzioni medici Sumai</t>
  </si>
  <si>
    <t>PBA250</t>
  </si>
  <si>
    <t>Altri fondi per oneri e spese</t>
  </si>
  <si>
    <t>PBA260</t>
  </si>
  <si>
    <t>Fondo oneri personale in quiescienza</t>
  </si>
  <si>
    <t>Altri Fondi incentivi funzioni tecniche Art. 113 D.Lgs 50/2016</t>
  </si>
  <si>
    <t>PBA270</t>
  </si>
  <si>
    <t>TRATTAMENTO FINE RAPPORTO</t>
  </si>
  <si>
    <t>FONDO PER PREMI OPEROSITA' MEDICI SUMAI</t>
  </si>
  <si>
    <t>PCA000</t>
  </si>
  <si>
    <t>FONDO PER TRATTAMENTO DI FINE RAPPORTO DIPENDENTI</t>
  </si>
  <si>
    <t>PCA010</t>
  </si>
  <si>
    <t>FONDO PER TRATTAMENTI DI QUIESCENZA E SIMILI</t>
  </si>
  <si>
    <t>PCA020</t>
  </si>
  <si>
    <t>DEBITI</t>
  </si>
  <si>
    <t>DEBITI PER MUTUI PASSIVI</t>
  </si>
  <si>
    <t>PDA000</t>
  </si>
  <si>
    <t>DEBITI V/STATO</t>
  </si>
  <si>
    <t>PDA010</t>
  </si>
  <si>
    <t>Debiti v/Stato per mobilità passiva extraregionale</t>
  </si>
  <si>
    <t>PDA020</t>
  </si>
  <si>
    <t>Debiti v/Stato per mobilità passiva internazionale</t>
  </si>
  <si>
    <t>PDA030</t>
  </si>
  <si>
    <t>Acconto quota FSR v/Stato</t>
  </si>
  <si>
    <t>PDA040</t>
  </si>
  <si>
    <t>Debiti v/Stato per restituzione finanziamenti - per ricerca</t>
  </si>
  <si>
    <t>PDA050</t>
  </si>
  <si>
    <t>Altri debiti v/Stato</t>
  </si>
  <si>
    <t>PDA060</t>
  </si>
  <si>
    <t xml:space="preserve">Acconti su contributi </t>
  </si>
  <si>
    <t>Note di credito da ricevere</t>
  </si>
  <si>
    <t>Note credito da emettere/note debito da ricevere</t>
  </si>
  <si>
    <t>DEBITI V/REGIONE O PROVINCIA AUTONOMA</t>
  </si>
  <si>
    <t>Debiti v/Regione o Provincia Autonoma per finanziamenti - GSA</t>
  </si>
  <si>
    <t>PDA080</t>
  </si>
  <si>
    <t>Debiti v/Regione o Provincia Autonoma per finanziamenti</t>
  </si>
  <si>
    <t>PDA081</t>
  </si>
  <si>
    <t>Debiti v/Regione o Provincia Autonoma per mobilità passiva intraregionale</t>
  </si>
  <si>
    <t>PDA090</t>
  </si>
  <si>
    <t>Debiti v/Regione o Provincia Autonoma per mobilità passiva extraregionale</t>
  </si>
  <si>
    <t>PDA100</t>
  </si>
  <si>
    <t>Debiti v/Regione o Provincia Autonoma per mobilità passiva internazionale</t>
  </si>
  <si>
    <t>PDA101</t>
  </si>
  <si>
    <t>Acconto quota FSR da Regione o Provincia Autonoma</t>
  </si>
  <si>
    <t>PDA110</t>
  </si>
  <si>
    <t>Acconto da Regione o Provincia Autonoma per anticipazione ripiano disavanzo programmato dai Piani aziendali di cui all'art. 1, comma 528, L. 208/2015</t>
  </si>
  <si>
    <t>PDA111</t>
  </si>
  <si>
    <t xml:space="preserve">Debiti v/Regione o Provincia Autonoma per contributi L. 210/92 </t>
  </si>
  <si>
    <t>PDA112</t>
  </si>
  <si>
    <t>Altri debiti v/Regione o Provincia Autonoma - GSA</t>
  </si>
  <si>
    <t>PDA120</t>
  </si>
  <si>
    <t>Altri debiti v/Regione o Provincia Autonoma</t>
  </si>
  <si>
    <t>PDA121</t>
  </si>
  <si>
    <t>Altri debiti v/Regione o Provincia Autonoma - vincolati a progetti europei</t>
  </si>
  <si>
    <t>Altri debiti v/Regione o Provincia Autonoma - vincolati a progetti ministeriali</t>
  </si>
  <si>
    <t>Debiti per fatture ricevute e da ricevere</t>
  </si>
  <si>
    <t>DEBITI V/COMUNI</t>
  </si>
  <si>
    <t>PDA130</t>
  </si>
  <si>
    <t xml:space="preserve">Acconti da comuni </t>
  </si>
  <si>
    <t>Debiti verso comuni</t>
  </si>
  <si>
    <t>DEBITI V/AZIENDE SANITARIE PUBBLICHE</t>
  </si>
  <si>
    <t>PDA140</t>
  </si>
  <si>
    <t>Debiti v/Aziende sanitarie pubbliche della Regione</t>
  </si>
  <si>
    <t>PDA150</t>
  </si>
  <si>
    <t>Debiti v/Aziende sanitarie pubbliche della Regione - per quota FSR</t>
  </si>
  <si>
    <t>PDA160</t>
  </si>
  <si>
    <t>Debiti v/Aziende sanitarie pubbliche della Regione - per finanziamento sanitario aggiuntivo corrente LEA</t>
  </si>
  <si>
    <t>PDA170</t>
  </si>
  <si>
    <t>Debiti v/Aziende sanitarie pubbliche della Regione - per finanziamento sanitario aggiuntivo corrente extra LEA</t>
  </si>
  <si>
    <t>PDA180</t>
  </si>
  <si>
    <t>Debiti v/Aziende sanitarie pubbliche della Regione - per mobilità in compensazione</t>
  </si>
  <si>
    <t>PDA190</t>
  </si>
  <si>
    <t>Debiti v/Aziende sanitarie pubbliche della Regione - per mobilità non in compensazione</t>
  </si>
  <si>
    <t>PDA200</t>
  </si>
  <si>
    <t>Debiti v/Aziende sanitarie pubbliche della Regione - per altre prestazioni</t>
  </si>
  <si>
    <t>PDA210</t>
  </si>
  <si>
    <t>Debiti verso aziende sanitarie della Regione - per altre prestazioni</t>
  </si>
  <si>
    <t>Debiti v/Aziende sanitarie pubbliche della Regione - altre prestazioni per STP</t>
  </si>
  <si>
    <t>PDA211</t>
  </si>
  <si>
    <t xml:space="preserve">Debiti v/Aziende sanitarie pubbliche della Regione - per Contributi da Aziende sanitarie pubbliche della Regione o Prov. Aut. (extra fondo) </t>
  </si>
  <si>
    <t>PDA212</t>
  </si>
  <si>
    <t xml:space="preserve">Debiti v/Aziende sanitarie pubbliche della Regione - per contributi L. 210/92 </t>
  </si>
  <si>
    <t>PDA213</t>
  </si>
  <si>
    <t xml:space="preserve">Debiti v/Aziende sanitarie pubbliche Extraregione </t>
  </si>
  <si>
    <t>PDA220</t>
  </si>
  <si>
    <t>Debiti verso aziende sanitarie extra regionali</t>
  </si>
  <si>
    <t>Debiti v/Aziende sanitarie pubbliche della Regione per versamenti c/patrimonio netto</t>
  </si>
  <si>
    <t>PDA230</t>
  </si>
  <si>
    <t>Debiti v/Aziende sanitarie pubbliche della Regione per versamenti c/patrimonio netto - finanziamenti per investimenti</t>
  </si>
  <si>
    <t>PDA231</t>
  </si>
  <si>
    <t xml:space="preserve"> Debiti v/Aziende sanitarie pubbliche della Regione per versamenti c/patrimonio netto - incremento fondo dotazione</t>
  </si>
  <si>
    <t>PDA232</t>
  </si>
  <si>
    <t>Debiti v/Aziende sanitarie pubbliche della Regione per versamenti c/patrimonio netto - ripiano perdite</t>
  </si>
  <si>
    <t>PDA233</t>
  </si>
  <si>
    <t>Debiti v/Aziende sanitarie pubbliche della Regione per anticipazione ripiano disavanzo programmato dai Piani aziendali di cui all'art. 1, comma 528, L. 208/2015</t>
  </si>
  <si>
    <t>PDA234</t>
  </si>
  <si>
    <t>Debiti v/Aziende sanitarie pubbliche della Regione per versamenti c/patrimonio netto - altro</t>
  </si>
  <si>
    <t>PDA235</t>
  </si>
  <si>
    <t>DEBITI V/ SOCIETA' PARTECIPATE E/O ENTI DIPENDENTI DELLA REGIONE</t>
  </si>
  <si>
    <t>Debiti v/enti regionali</t>
  </si>
  <si>
    <t>PDA250</t>
  </si>
  <si>
    <t>Debiti v/sperimentazioni gestionali</t>
  </si>
  <si>
    <t>PDA260</t>
  </si>
  <si>
    <t>Debiti v/altre partecipate</t>
  </si>
  <si>
    <t>PDA270</t>
  </si>
  <si>
    <t>DEBITI V/FORNITORI</t>
  </si>
  <si>
    <t xml:space="preserve">Debiti verso erogatori (privati accreditati e convenzionati) di prestazioni sanitarie </t>
  </si>
  <si>
    <t>PDA290</t>
  </si>
  <si>
    <t>PDA291</t>
  </si>
  <si>
    <t>Note di credito da ricevere (privati accreditati e convenzionati)</t>
  </si>
  <si>
    <t>PDA292</t>
  </si>
  <si>
    <t>Debiti verso altri fornitori</t>
  </si>
  <si>
    <t>PDA300</t>
  </si>
  <si>
    <t>PDA301</t>
  </si>
  <si>
    <t>Fornitori nazionali</t>
  </si>
  <si>
    <t>Fornitori esteri</t>
  </si>
  <si>
    <t>Assicurazioni</t>
  </si>
  <si>
    <t>Debiti vs farmacie</t>
  </si>
  <si>
    <t>Per trattenute a farmacie</t>
  </si>
  <si>
    <t>Note di credito da ricevere (altri fornitori)</t>
  </si>
  <si>
    <t>PDA302</t>
  </si>
  <si>
    <t xml:space="preserve"> </t>
  </si>
  <si>
    <t>DEBITI V/ISTITUTO TESORIERE</t>
  </si>
  <si>
    <t>PDA310</t>
  </si>
  <si>
    <t>Anticipazioni</t>
  </si>
  <si>
    <t>Interessi passivi da liquidare</t>
  </si>
  <si>
    <t>DEBITI TRIBUTARI</t>
  </si>
  <si>
    <t>PDA320</t>
  </si>
  <si>
    <t>Ritenute fiscali</t>
  </si>
  <si>
    <t>Erario c/IVA</t>
  </si>
  <si>
    <t>Iva a debito</t>
  </si>
  <si>
    <t>Iva a debito x acquisti infra CEE</t>
  </si>
  <si>
    <t>Iva a debito per autofatture</t>
  </si>
  <si>
    <t>Iva a debito per split payment</t>
  </si>
  <si>
    <t>Altri debiti tributari</t>
  </si>
  <si>
    <t>DEBITI V/ISTITUTI PREVIDENZIALI, ASSISTENZIALI E SICUREZZA SOCIALE</t>
  </si>
  <si>
    <t>PDA330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</si>
  <si>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</si>
  <si>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</si>
  <si>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</si>
  <si>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</si>
  <si>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</si>
  <si>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</si>
  <si>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</si>
  <si>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</si>
  <si>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vs/altri istituti di previdenza</t>
  </si>
  <si>
    <t>DEBITI V/ALTRI</t>
  </si>
  <si>
    <t>Debiti v/altri finanziatori</t>
  </si>
  <si>
    <t>PDA350</t>
  </si>
  <si>
    <t>Debiti v/dipendenti</t>
  </si>
  <si>
    <t>PDA360</t>
  </si>
  <si>
    <t xml:space="preserve">Debiti verso personale dipendente </t>
  </si>
  <si>
    <t>Debiti CCNL da liquidare</t>
  </si>
  <si>
    <t>Debiti v/gestioni liquidatorie</t>
  </si>
  <si>
    <t>PDA370</t>
  </si>
  <si>
    <t>Debiti vs gestione stralcio 1</t>
  </si>
  <si>
    <t>Debiti vs gestione stralcio 2</t>
  </si>
  <si>
    <t>Altri debiti diversi</t>
  </si>
  <si>
    <t>PDA380</t>
  </si>
  <si>
    <t>Debiti verso associazioni di volontariato</t>
  </si>
  <si>
    <t>Debiti verso privati paganti c/cauzioni</t>
  </si>
  <si>
    <t>Debiti verso assistiti</t>
  </si>
  <si>
    <t>Debiti per trattenute al personale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</si>
  <si>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</si>
  <si>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</si>
  <si>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</si>
  <si>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</si>
  <si>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</si>
  <si>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verso organi direttivi e istituzionali</t>
  </si>
  <si>
    <t>Debiti per quota integrativa organi direttivi e istituzionali da liquidare</t>
  </si>
  <si>
    <t>Debiti vs altri enti pubblici</t>
  </si>
  <si>
    <t>Depositi cauzionali</t>
  </si>
  <si>
    <t>Altri debiti</t>
  </si>
  <si>
    <t>RATEI E RISCONTI PASSIVI</t>
  </si>
  <si>
    <t>RATEI PASSIVI</t>
  </si>
  <si>
    <t>Ratei passivi</t>
  </si>
  <si>
    <t>PEA010</t>
  </si>
  <si>
    <t>Ratei passivi v/Aziende sanitarie pubbliche della Regione</t>
  </si>
  <si>
    <t>PEA020</t>
  </si>
  <si>
    <t>RISCONTI PASSIVI</t>
  </si>
  <si>
    <t>Risconti passivi</t>
  </si>
  <si>
    <t>PEA040</t>
  </si>
  <si>
    <t>Risconti passivi v/Aziende sanitarie pubbliche della Regione</t>
  </si>
  <si>
    <t>PEA050</t>
  </si>
  <si>
    <t xml:space="preserve"> Risconti passivi - in attuazione dell’art.79, comma 1 sexies lettera c), del D.L. 112/2008, convertito con legge 133/2008 e della legge 23 dicembre 2009 n. 191.</t>
  </si>
  <si>
    <t>PEA060</t>
  </si>
  <si>
    <t>TOTALE PASSIVO E PATRIMONIO NETTO</t>
  </si>
  <si>
    <t>PZZ999</t>
  </si>
  <si>
    <t>CONTI DI RIEPILOGO</t>
  </si>
  <si>
    <t>Stato Patrimoniale di chiusura</t>
  </si>
  <si>
    <t>Stato Patrimoniale di apertura</t>
  </si>
  <si>
    <t>Conto Economico</t>
  </si>
  <si>
    <t>CONTI D'ORDINE</t>
  </si>
  <si>
    <t>CANONI DI LEASING ANCORA DA PAGARE</t>
  </si>
  <si>
    <t>PFA000</t>
  </si>
  <si>
    <t>DEPOSITI CAUZIONALI</t>
  </si>
  <si>
    <t>PFA010</t>
  </si>
  <si>
    <t>BENI IN COMODATO</t>
  </si>
  <si>
    <t>PFA020</t>
  </si>
  <si>
    <t>CANONI DI PROJECT FINANCING ANCORA DA PAGARE</t>
  </si>
  <si>
    <t>PFA021</t>
  </si>
  <si>
    <t>ALTRI CONTI D'ORDINE</t>
  </si>
  <si>
    <t>PFA030</t>
  </si>
  <si>
    <t>Canoni di leasing a scadere</t>
  </si>
  <si>
    <t>Beni di terzi presso l'Azienda</t>
  </si>
  <si>
    <t>Garanzie prestate (fideiussioni, avalli, altre garanzie personali e reali)</t>
  </si>
  <si>
    <t>Garanzie ricevute (fideiussioni, avalli, altre garanzie personali e reali)</t>
  </si>
  <si>
    <t>Beni in contenzioso</t>
  </si>
  <si>
    <t>Altri impegni assunti</t>
  </si>
  <si>
    <t>Stato Patrimoniale Attivo</t>
  </si>
  <si>
    <t>IMMOBILIZZAZIONI IMMATERIALI</t>
  </si>
  <si>
    <t>Costi di impianto e di ampliamento</t>
  </si>
  <si>
    <t>AAA020</t>
  </si>
  <si>
    <t>Costi di ricerca e sviluppo</t>
  </si>
  <si>
    <t>AAA050</t>
  </si>
  <si>
    <t>Diritti di brevetto e diritti di utilizzazione delle opere d'ingegno</t>
  </si>
  <si>
    <t>Diritti di brevetto e diritti di utilizzazione delle opere d'ingegno - derivanti dall'attività di ricerca</t>
  </si>
  <si>
    <t>AAA080</t>
  </si>
  <si>
    <t>Diritti di brevetto e diritti di utilizzazione delle opere d'ingegno - altri</t>
  </si>
  <si>
    <t>AAA100</t>
  </si>
  <si>
    <t>Immobilizzazioni immateriali in corso e acconti</t>
  </si>
  <si>
    <t>AAA120</t>
  </si>
  <si>
    <t>Altre immobilizzazioni immateriali</t>
  </si>
  <si>
    <t>Concessioni, licenze, marchi e diritti simili</t>
  </si>
  <si>
    <t>AAA140</t>
  </si>
  <si>
    <t>Migliorie su beni di terzi</t>
  </si>
  <si>
    <t>AAA160</t>
  </si>
  <si>
    <t>Pubblicità</t>
  </si>
  <si>
    <t>AAA180</t>
  </si>
  <si>
    <t>AAA200</t>
  </si>
  <si>
    <t>IMMOBILIZZAZIONI MATERIALI</t>
  </si>
  <si>
    <t>Terreni</t>
  </si>
  <si>
    <t>Terreni disponibili</t>
  </si>
  <si>
    <t>AAA290</t>
  </si>
  <si>
    <t>Terreni indisponibili</t>
  </si>
  <si>
    <t>AAA300</t>
  </si>
  <si>
    <t>Fabbricati</t>
  </si>
  <si>
    <t>Fabbricati non strumentali (disponibili)</t>
  </si>
  <si>
    <t>AAA330</t>
  </si>
  <si>
    <t>Fabbricati strumentali (indisponibili)</t>
  </si>
  <si>
    <t>AAA360</t>
  </si>
  <si>
    <t>Impianti e macchinari</t>
  </si>
  <si>
    <t>AAA390</t>
  </si>
  <si>
    <t>Attrezzature sanitarie e scientifiche</t>
  </si>
  <si>
    <t>AAA420</t>
  </si>
  <si>
    <t>Mobili e arredi</t>
  </si>
  <si>
    <t>AAA450</t>
  </si>
  <si>
    <t>Automezzi</t>
  </si>
  <si>
    <t>AAA480</t>
  </si>
  <si>
    <t>Oggetti d'arte</t>
  </si>
  <si>
    <t>AAA500</t>
  </si>
  <si>
    <t>Altre immobilizzazioni materiali</t>
  </si>
  <si>
    <t>AAA520</t>
  </si>
  <si>
    <t>Immobilizzazioni materiali in corso e acconti</t>
  </si>
  <si>
    <t>AAA540</t>
  </si>
  <si>
    <t>IMMOBILIZZAZIONI FINANZIARIE</t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</si>
  <si>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</si>
  <si>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</si>
  <si>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</si>
  <si>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</si>
  <si>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</si>
  <si>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per contributi in conto capitale su gestioni pregresse (ASSR e altri)</t>
  </si>
  <si>
    <t>per contributi in conto capitale su gestioni liquidatorie (ASSR e altri)</t>
  </si>
  <si>
    <t>Altri crediti (ASSR e altri)</t>
  </si>
  <si>
    <t>Titoli</t>
  </si>
  <si>
    <t>Partecipazioni</t>
  </si>
  <si>
    <t>AAA710</t>
  </si>
  <si>
    <t>Altri titoli</t>
  </si>
  <si>
    <t>Titoli di Stato</t>
  </si>
  <si>
    <t>AAA730</t>
  </si>
  <si>
    <t>Altre Obbligazioni</t>
  </si>
  <si>
    <t>AAA740</t>
  </si>
  <si>
    <t>Titoli azionari quotati in Borsa</t>
  </si>
  <si>
    <t>AAA750</t>
  </si>
  <si>
    <t>Titoli diversi</t>
  </si>
  <si>
    <t>AAA760</t>
  </si>
  <si>
    <t>RIMANENZE</t>
  </si>
  <si>
    <t>Rimanenze beni sanitari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</si>
  <si>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</si>
  <si>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</si>
  <si>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</si>
  <si>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</si>
  <si>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</si>
  <si>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</si>
  <si>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</si>
  <si>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</si>
  <si>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Acconti per acquisto di beni e prodotti sanitari</t>
  </si>
  <si>
    <t>ABA100</t>
  </si>
  <si>
    <t>Rimanenze beni non sanitari</t>
  </si>
  <si>
    <t>ABA120</t>
  </si>
  <si>
    <t>Materiali di guardaroba, di pulizia, e di convivenza in genere</t>
  </si>
  <si>
    <t>ABA130</t>
  </si>
  <si>
    <t>ABA140</t>
  </si>
  <si>
    <t>ABA150</t>
  </si>
  <si>
    <t>ABA160</t>
  </si>
  <si>
    <t>ABA170</t>
  </si>
  <si>
    <t>Acconti per acquisto di beni e prodotti non sanitari</t>
  </si>
  <si>
    <t>ABA180</t>
  </si>
  <si>
    <t xml:space="preserve">CREDITI </t>
  </si>
  <si>
    <t>Crediti v/Stato</t>
  </si>
  <si>
    <t>Crediti v/Stato per spesa corrente - FSN indistinto</t>
  </si>
  <si>
    <t>Crediti v/Stato per spesa corrente - FSN vincolato</t>
  </si>
  <si>
    <t>Crediti v/Stato per mobilità attiva extraregionale</t>
  </si>
  <si>
    <t>Crediti v/Stato per mobilità attiva internazionale</t>
  </si>
  <si>
    <t>Crediti v/Stato per acconto quota fabbisogno sanitario regionale standard</t>
  </si>
  <si>
    <t>Crediti v/Stato per finanziamento sanitario aggiuntivo corrente</t>
  </si>
  <si>
    <t>Crediti v/Stato per spesa corrente - altro</t>
  </si>
  <si>
    <t>Crediti per fatture e ricevute da emettere</t>
  </si>
  <si>
    <t>Note credito da ricevere/note debito da emettere</t>
  </si>
  <si>
    <t>Crediti v/Stato per spesa corrente per STP (ex D.lgs. 286/98)</t>
  </si>
  <si>
    <t>Crediti v/Stato per finanziamenti per investimenti</t>
  </si>
  <si>
    <t>Crediti v/Stato per ricerca</t>
  </si>
  <si>
    <t>Crediti v/Stato per ricerca corrente - Ministero della Salute</t>
  </si>
  <si>
    <t>Crediti v/Stato per ricerca finalizzata - Ministero della Salute</t>
  </si>
  <si>
    <t xml:space="preserve">Crediti v/Stato per ricerca - altre Amministrazioni centrali </t>
  </si>
  <si>
    <t>Crediti verso ministero dell'università</t>
  </si>
  <si>
    <t>Crediti verso ministero della difesa</t>
  </si>
  <si>
    <t xml:space="preserve">Crediti verso altre Amministrazioni centrali </t>
  </si>
  <si>
    <t>Crediti v/Stato per ricerca - finanziamenti per investimenti</t>
  </si>
  <si>
    <t>Crediti v/prefetture</t>
  </si>
  <si>
    <t>Crediti verso prefetture</t>
  </si>
  <si>
    <t>Note di credito da emettere</t>
  </si>
  <si>
    <t>Crediti v/Regione o Provincia Autonoma</t>
  </si>
  <si>
    <t>ABA350</t>
  </si>
  <si>
    <t>Crediti v/Regione o Provincia Autonoma per spesa corrente</t>
  </si>
  <si>
    <t>ABA360</t>
  </si>
  <si>
    <t>Crediti v/Regione o Provincia Autonoma per quota FSR</t>
  </si>
  <si>
    <t>Crediti v/Regione o Provincia Autonoma per mobilità attiva intraregionale</t>
  </si>
  <si>
    <t>Crediti v/Regione o Provincia Autonoma per mobilità attiva extraregionale</t>
  </si>
  <si>
    <t>Crediti v/Regione o Provincia Autonoma per acconto quota FSR</t>
  </si>
  <si>
    <t>Crediti v/Regione o Provincia Autonoma per finanziamento sanitario aggiuntivo corrente LEA</t>
  </si>
  <si>
    <t>Crediti v/Regione o Provincia Autonoma per finanziamento sanitario aggiuntivo corrente extra LEA</t>
  </si>
  <si>
    <t>Crediti v/Regione o Provincia Autonoma per spesa corrente - altro</t>
  </si>
  <si>
    <t>Crediti v/Regione o Provincia Autonoma per spesa corrente - STP (ex D.lgs. 286/98)</t>
  </si>
  <si>
    <t>Crediti v/Regione o Provincia Autonoma per ricerca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</si>
  <si>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</si>
  <si>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</si>
  <si>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</si>
  <si>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</si>
  <si>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Crediti v/Regione o Provincia Autonoma per mobilità attiva internazionale</t>
  </si>
  <si>
    <t>Crediti v/Regione o Provincia Autonoma per versamenti a patrimonio netto</t>
  </si>
  <si>
    <t>ABA470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</si>
  <si>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</si>
  <si>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</si>
  <si>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</si>
  <si>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anticipazione ripiano disavanzo programmato dai Piani aziendali di cui all'art. 1, comma 528, L. 208/2015</t>
  </si>
  <si>
    <t>ABA501</t>
  </si>
  <si>
    <t>Crediti v/Regione per copertura debiti al 31/12/2005</t>
  </si>
  <si>
    <t>Crediti v/Regione o Provincia Autonoma per ricostituzione risorse da investimenti esercizi precedenti</t>
  </si>
  <si>
    <t xml:space="preserve"> Crediti v/Regione o Provincia Autonoma per contributi L. 210/92</t>
  </si>
  <si>
    <t>ABA521</t>
  </si>
  <si>
    <t>Crediti v/Regione o Provincia Autonoma per contributi L. 210/92 – aziende sanitarie</t>
  </si>
  <si>
    <t>ABA522</t>
  </si>
  <si>
    <t>Crediti v/Comuni</t>
  </si>
  <si>
    <t>Crediti v/comuni</t>
  </si>
  <si>
    <t>Crediti v/Aziende sanitarie pubbliche</t>
  </si>
  <si>
    <t>ABA540</t>
  </si>
  <si>
    <t>Crediti v/Aziende sanitarie pubbliche della Regione</t>
  </si>
  <si>
    <t>Crediti v/Aziende sanitarie pubbliche della Regione - per mobilità in compensazione</t>
  </si>
  <si>
    <t>Crediti v/Aziende sanitarie pubbliche della Regione - per mobilità non in compensazione</t>
  </si>
  <si>
    <t>Crediti v/Aziende sanitarie pubbliche della Regione - per altre prestazioni</t>
  </si>
  <si>
    <t xml:space="preserve"> Crediti v/Aziende sanitarie pubbliche della Regione - per altre prestazioni</t>
  </si>
  <si>
    <t>Acconto quota FSR da distribuire</t>
  </si>
  <si>
    <t xml:space="preserve"> Crediti v/Aziende sanitarie pubbliche della Regione per anticipazione ripiano disavanzo programmato dai Piani aziendali di cui all'art. 1, comma 528, L. 208/2015</t>
  </si>
  <si>
    <t>ABA591</t>
  </si>
  <si>
    <t>Crediti v/Aziende sanitarie pubbliche Extraregione</t>
  </si>
  <si>
    <t xml:space="preserve">Crediti v/Aziende sanitarie pubbliche della Regione - per Contributi da Aziende sanitarie pubbliche della Regione o Prov. Aut. (extra fondo) </t>
  </si>
  <si>
    <t>ABA601</t>
  </si>
  <si>
    <t>Crediti v/società partecipate e/o enti dipendenti della Regione</t>
  </si>
  <si>
    <t>Crediti v/enti regionali</t>
  </si>
  <si>
    <t>Crediti v/sperimentazioni gestionali</t>
  </si>
  <si>
    <t>Crediti v/altre partecipate</t>
  </si>
  <si>
    <t>Crediti v/Erario</t>
  </si>
  <si>
    <t>IVA a Credito</t>
  </si>
  <si>
    <t>IVA a Credito per acquisti Infra CEE</t>
  </si>
  <si>
    <t>IVA a Credito per autofatture</t>
  </si>
  <si>
    <t>Imposte varie</t>
  </si>
  <si>
    <t>Crediti v/altri</t>
  </si>
  <si>
    <t>Crediti v/clienti privati</t>
  </si>
  <si>
    <t>Privati paganti</t>
  </si>
  <si>
    <t>Crediti verso soggetti esteri</t>
  </si>
  <si>
    <t>Altri crediti v/clienti privati</t>
  </si>
  <si>
    <t>Crediti v/gestioni liquidatorie</t>
  </si>
  <si>
    <t>Crediti v/altri soggetti pubblici</t>
  </si>
  <si>
    <t>Crediti verso enti previdenziali per acconti pensione</t>
  </si>
  <si>
    <t>Crediti verso altre amministrazioni pubbliche</t>
  </si>
  <si>
    <t>Crediti v/altri soggetti pubblici per ricerca</t>
  </si>
  <si>
    <t>Altri crediti diversi</t>
  </si>
  <si>
    <t>Crediti verso dipendenti</t>
  </si>
  <si>
    <t>Acconti, anticipi a personale</t>
  </si>
  <si>
    <t>Altri crediti verso personale</t>
  </si>
  <si>
    <t>Acconti a farmacie</t>
  </si>
  <si>
    <t>Acconti a fornitori</t>
  </si>
  <si>
    <t>Note di credito da emettere (diversi)</t>
  </si>
  <si>
    <t>ABA712</t>
  </si>
  <si>
    <t>Altri Crediti verso erogatori (privati accreditati e convenzionati) di prestazioni sanitarie</t>
  </si>
  <si>
    <t>ABA713</t>
  </si>
  <si>
    <t>ABA714</t>
  </si>
  <si>
    <t>Note di credito da emettere  (privati accreditati e convenzionati)</t>
  </si>
  <si>
    <t>ABA715</t>
  </si>
  <si>
    <t>ATTIVITA' FINANZIARIE CHE NON COSTITUISCONO IMMOBILIZZAZIONI</t>
  </si>
  <si>
    <t>Partecipazioni che non costituiscono immobilizzazioni</t>
  </si>
  <si>
    <t>ABA730</t>
  </si>
  <si>
    <t>Partecipazioni in imprese controllate</t>
  </si>
  <si>
    <t>Partecipazioni in imprese collegate</t>
  </si>
  <si>
    <t>Partecipazioni in altre imprese</t>
  </si>
  <si>
    <t>Altri titoli che non costituiscono immobilizzazioni</t>
  </si>
  <si>
    <t>ABA740</t>
  </si>
  <si>
    <t>DISPONIBILITA' LIQUIDE</t>
  </si>
  <si>
    <t>Cassa</t>
  </si>
  <si>
    <t>ABA760</t>
  </si>
  <si>
    <t>Cassa economale</t>
  </si>
  <si>
    <t>Cassa economale 1</t>
  </si>
  <si>
    <t>Cassa economale 2</t>
  </si>
  <si>
    <t>Cassa economale 3</t>
  </si>
  <si>
    <t>Cassa economale 4</t>
  </si>
  <si>
    <t>Cassa economale 5</t>
  </si>
  <si>
    <t>Cassa economale 6</t>
  </si>
  <si>
    <t>Cassa economale 7</t>
  </si>
  <si>
    <t>Cassa economale 8</t>
  </si>
  <si>
    <t>Cassa economale 9</t>
  </si>
  <si>
    <t>Cassa prestazioni</t>
  </si>
  <si>
    <t>Cassa prestazioni 1</t>
  </si>
  <si>
    <t>Cassa prestazioni 2</t>
  </si>
  <si>
    <t>Cassa prestazioni 3</t>
  </si>
  <si>
    <t>Cassa prestazioni 4</t>
  </si>
  <si>
    <t>Cassa prestazioni 5</t>
  </si>
  <si>
    <t>Cassa prestazioni 6</t>
  </si>
  <si>
    <t>Cassa prestazioni 7</t>
  </si>
  <si>
    <t>Cassa prestazioni 8</t>
  </si>
  <si>
    <t>Istituto Tesoriere</t>
  </si>
  <si>
    <t>ABA770</t>
  </si>
  <si>
    <t>c/c di tesoreria</t>
  </si>
  <si>
    <t>c/c di tesoreria - delega</t>
  </si>
  <si>
    <t>Interessi attivi da liquidare</t>
  </si>
  <si>
    <t>Tesoreria Unica</t>
  </si>
  <si>
    <t>ABA780</t>
  </si>
  <si>
    <t>Conto corrente postale</t>
  </si>
  <si>
    <t>ABA790</t>
  </si>
  <si>
    <t>Conto corrente postale 1</t>
  </si>
  <si>
    <t>Conto corrente postale 2</t>
  </si>
  <si>
    <t>Conto corrente postale 3</t>
  </si>
  <si>
    <t>Conto corrente postale 4</t>
  </si>
  <si>
    <t>Deposito affrancatrice1</t>
  </si>
  <si>
    <t>Deposito affrancatrice2</t>
  </si>
  <si>
    <t>Deposito affrancatrice3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</si>
  <si>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</si>
  <si>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</si>
  <si>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</si>
  <si>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</si>
  <si>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</si>
  <si>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</si>
  <si>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</si>
  <si>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</si>
  <si>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</si>
  <si>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</si>
  <si>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</si>
  <si>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</si>
  <si>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</si>
  <si>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RATEI E RISCONTI ATTIVI</t>
  </si>
  <si>
    <t>RATEI ATTIVI</t>
  </si>
  <si>
    <t>Ratei attivi</t>
  </si>
  <si>
    <t>ACA010</t>
  </si>
  <si>
    <t>Ratei attivi v/Aziende sanitarie pubbliche della Regione</t>
  </si>
  <si>
    <t>ACA020</t>
  </si>
  <si>
    <t>RISCONTI ATTIVI</t>
  </si>
  <si>
    <t>Risconti attivi</t>
  </si>
  <si>
    <t>ACA040</t>
  </si>
  <si>
    <t>Risconti attivi v/Aziende sanitarie pubbliche della Regione</t>
  </si>
  <si>
    <t>ACA050</t>
  </si>
  <si>
    <t>TOTALE ATTIVO</t>
  </si>
  <si>
    <t>AZZ999</t>
  </si>
  <si>
    <t>ADA000</t>
  </si>
  <si>
    <t>ADA010</t>
  </si>
  <si>
    <t>ADA020</t>
  </si>
  <si>
    <t>ADA021</t>
  </si>
  <si>
    <t>ADA030</t>
  </si>
  <si>
    <t>(Centesimo di euro)</t>
  </si>
  <si>
    <t>IMPORTO
2022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</si>
  <si>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</si>
  <si>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</si>
  <si>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</si>
  <si>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</si>
  <si>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</si>
  <si>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</si>
  <si>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A.I.1.a) Costi di impianto e di ampliamento</t>
  </si>
  <si>
    <t>A.I.1.b) F.do Amm.to costi di impianto e di ampliamento</t>
  </si>
  <si>
    <t>AAA040</t>
  </si>
  <si>
    <t>A.I.2) Costi di ricerca e sviluppo</t>
  </si>
  <si>
    <t>A.I.2.a) Costi di ricerca e sviluppo</t>
  </si>
  <si>
    <t>A.I.2.b) F.do Amm.to costi di ricerca e sviluppo</t>
  </si>
  <si>
    <t>AAA070</t>
  </si>
  <si>
    <t>A.I.3) Diritti di brevetto e diritti di utilizzazione delle opere d'ingegno</t>
  </si>
  <si>
    <t>A.I.3.a) Diritti di brevetto e diritti di utilizzazione delle opere d'ingegno - derivanti dall'attività di ricerca</t>
  </si>
  <si>
    <t>A.I.3.b) F.do Amm.to diritti di brevetto e diritti di utilizzazione delle opere d'ingegno - derivanti dall'attività di ricerca</t>
  </si>
  <si>
    <t>A.I.3.c) Diritti di brevetto e diritti di utilizzazione delle opere d'ingegno - altri</t>
  </si>
  <si>
    <t>A.I.3.d) F.do Amm.to diritti di brevetto e diritti di utilizzazione delle opere d'ingegno - altri</t>
  </si>
  <si>
    <t>A.I.4) Immobilizzazioni immateriali in corso e acconti</t>
  </si>
  <si>
    <t>AAA130</t>
  </si>
  <si>
    <t>A.I.5) Altre immobilizzazioni immateriali</t>
  </si>
  <si>
    <t>A.I.5.a) Concessioni, licenze, marchi e diritti simili</t>
  </si>
  <si>
    <t>A.I.5.b) F.do Amm.to concessioni, licenze, marchi e diritti simili</t>
  </si>
  <si>
    <t>A.I.5.c) Migliorie su beni di terzi</t>
  </si>
  <si>
    <t>A.I.5.d) F.do Amm.to migliorie su beni di terzi</t>
  </si>
  <si>
    <t>A.I.5.e) Pubblicità</t>
  </si>
  <si>
    <t>A.I.5.f) F.do Amm.to pubblicità</t>
  </si>
  <si>
    <t>A.I.5.g) Altre immobilizzazioni immateriali</t>
  </si>
  <si>
    <t>A.I.5.h) F.do Amm.to altre immobilizzazioni immateriali</t>
  </si>
  <si>
    <t>AAA220</t>
  </si>
  <si>
    <t>A.I.6) Fondo Svalutazione immobilizzazioni immateriali</t>
  </si>
  <si>
    <t>A.I.6.a) F.do Svalut. Costi di impianto e di ampliamento</t>
  </si>
  <si>
    <t>A.I.6.b) F.do Svalut. Costi di ricerca e sviluppo</t>
  </si>
  <si>
    <t>A.I.6.c) F.do Svalut. Diritti di brevetto e diritti di utilizzazione delle opere d'ingegno</t>
  </si>
  <si>
    <t>A.I.6.d) F.do Svalut. Altre immobilizzazioni immateriali</t>
  </si>
  <si>
    <t>AAA270</t>
  </si>
  <si>
    <t>A.II)IMMOBILIZZAZIONI MATERIALI</t>
  </si>
  <si>
    <t>AAA280</t>
  </si>
  <si>
    <t>A.II.1) Terreni</t>
  </si>
  <si>
    <t>A.II.1.a) Terreni disponibili</t>
  </si>
  <si>
    <t>A.II.1.b) Terreni indisponibili</t>
  </si>
  <si>
    <t>AAA310</t>
  </si>
  <si>
    <t>A.II.2) Fabbricati</t>
  </si>
  <si>
    <t>AAA320</t>
  </si>
  <si>
    <t>A.II.2.a) Fabbricati non strumentali (disponibili)</t>
  </si>
  <si>
    <t>A.II.2.a.1) Fabbricati non strumentali (disponibili)</t>
  </si>
  <si>
    <t>A.II.2.a.2) F.do Amm.to Fabbricati non strumentali (disponibili)</t>
  </si>
  <si>
    <t>AAA350</t>
  </si>
  <si>
    <t>A.II.2.b) Fabbricati strumentali (indisponibili)</t>
  </si>
  <si>
    <t>A.II.2.b.1) Fabbricati strumentali (indisponibili)</t>
  </si>
  <si>
    <t>A.II.2.b.2) F.do Amm.to Fabbricati strumentali (indisponibili)</t>
  </si>
  <si>
    <t>AAA380</t>
  </si>
  <si>
    <t>A.II.3) Impianti e macchinari</t>
  </si>
  <si>
    <t>A.II.3.a) Impianti e macchinari</t>
  </si>
  <si>
    <t>A.II.3.b) F.do Amm.to Impianti e macchinari</t>
  </si>
  <si>
    <t>AAA410</t>
  </si>
  <si>
    <t>A.II.4) Attrezzature sanitarie e scientifiche</t>
  </si>
  <si>
    <t>A.II.4.a) Attrezzature sanitarie e scientifiche</t>
  </si>
  <si>
    <t>A.II.4.b) F.do Amm.to Attrezzature sanitarie e scientifiche</t>
  </si>
  <si>
    <t>AAA440</t>
  </si>
  <si>
    <t>A.II.5) Mobili e arredi</t>
  </si>
  <si>
    <t>A.II.5.a) Mobili e arredi</t>
  </si>
  <si>
    <t>A.II.5.b) F.do Amm.to Mobili e arredi</t>
  </si>
  <si>
    <t>AAA470</t>
  </si>
  <si>
    <t>A.II.6) Automezzi</t>
  </si>
  <si>
    <t>A.II.6.a) Automezzi</t>
  </si>
  <si>
    <t>A.II.6.b) F.do Amm.to Automezzi</t>
  </si>
  <si>
    <t>A.II.7) Oggetti d'arte</t>
  </si>
  <si>
    <t>AAA510</t>
  </si>
  <si>
    <t>A.II.8) Altre immobilizzazioni materiali</t>
  </si>
  <si>
    <t>A.II.8.a) Altre immobilizzazioni materiali</t>
  </si>
  <si>
    <t>A.II.8.b) F.do Amm.to Altre immobilizzazioni materiali</t>
  </si>
  <si>
    <t>A.II.9) Immobilizzazioni materiali in corso e acconti</t>
  </si>
  <si>
    <t>AAA550</t>
  </si>
  <si>
    <t>A.II.10) Fondo Svalutazione immobilizzazioni materiali</t>
  </si>
  <si>
    <t>A.II.10.a) F.do Svalut. Terreni</t>
  </si>
  <si>
    <t>A.II.10.b) F.do Svalut. Fabbricati</t>
  </si>
  <si>
    <t>A.II.10.c) F.do Svalut. Impianti e macchinari</t>
  </si>
  <si>
    <t>A.II.10.d) F.do Svalut. Attrezzature sanitarie e scientifiche</t>
  </si>
  <si>
    <t>A.II.10.e) F.do Svalut. Mobili e arredi</t>
  </si>
  <si>
    <t>A.II.10.f) F.do Svalut. Automezzi</t>
  </si>
  <si>
    <t>A.II.10.g) F.do Svalut. Oggetti d'arte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</si>
  <si>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</si>
  <si>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</si>
  <si>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</si>
  <si>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</si>
  <si>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</si>
  <si>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A.III.1.a) Crediti finanziari v/Stato</t>
  </si>
  <si>
    <t>A.III.1.b) Crediti finanziari v/Regione</t>
  </si>
  <si>
    <t>A.III.1.c) Crediti finanziari v/partecipate</t>
  </si>
  <si>
    <t>A.III.1.d) Crediti finanziari v/altri</t>
  </si>
  <si>
    <t>AAA700</t>
  </si>
  <si>
    <t>A.III.2) Titoli</t>
  </si>
  <si>
    <t>A.III.2.a) Partecipazioni</t>
  </si>
  <si>
    <t>AAA720</t>
  </si>
  <si>
    <t>A.III.2.b) Altri titoli</t>
  </si>
  <si>
    <t>A.III.2.b.1) Titoli di Stato</t>
  </si>
  <si>
    <t>A.III.2.b.2) Altre Obbligazioni</t>
  </si>
  <si>
    <t>A.III.2.b.3) Titoli azionari quotati in Borsa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</si>
  <si>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</si>
  <si>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</si>
  <si>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</si>
  <si>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</si>
  <si>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</si>
  <si>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</si>
  <si>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</si>
  <si>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B.I.1.a) Prodotti farmaceutici ed emoderivati</t>
  </si>
  <si>
    <t>B.I.1.b) Sangue ed emocomponenti</t>
  </si>
  <si>
    <t>B.I.1.c) Dispositivi medici</t>
  </si>
  <si>
    <t>B.I.1.d) Prodotti dietetici</t>
  </si>
  <si>
    <t>B.I.1.e) Materiali per la profilassi (vaccini)</t>
  </si>
  <si>
    <t>B.I.1.f) Prodotti chimici</t>
  </si>
  <si>
    <t>B.I.1.g) Materiali e prodotti per uso veterinario</t>
  </si>
  <si>
    <t>B.I.1.h) Altri beni e prodotti sanitari</t>
  </si>
  <si>
    <t>B.I.1.i) Acconti per acquisto di beni e prodotti sanitari</t>
  </si>
  <si>
    <t>ABA110</t>
  </si>
  <si>
    <t>B.I.2) Rimanenze beni non sanitari</t>
  </si>
  <si>
    <t>B.I.2.a) Prodotti alimentari</t>
  </si>
  <si>
    <t>B.I.2.b) Materiali di guardaroba, di pulizia, e di convivenza in genere</t>
  </si>
  <si>
    <t>B.I.2.c) Combustibili, carburanti e lubrificanti</t>
  </si>
  <si>
    <t>B.I.2.d) Supporti informatici e cancelleria</t>
  </si>
  <si>
    <t>B.I.2.e) Materiale per la manutenzione</t>
  </si>
  <si>
    <t>B.I.2.f) Altri beni e prodotti non sanitari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</si>
  <si>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</si>
  <si>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</si>
  <si>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</si>
  <si>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</si>
  <si>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</si>
  <si>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B.II.1.a) Crediti v/Stato per spesa corrente - FSN indistinto</t>
  </si>
  <si>
    <t>B.II.1.b) Crediti v/Stato per spesa corrente - FSN vincolato</t>
  </si>
  <si>
    <t>B.II.1.c) Crediti v/Stato per mobilità attiva extraregionale</t>
  </si>
  <si>
    <t>B.II.1.d) Crediti v/Stato per mobilità attiva internazionale</t>
  </si>
  <si>
    <t>B.II.1.e) Crediti v/Stato per acconto quota fabbisogno sanitario regionale standard</t>
  </si>
  <si>
    <t>B.II.1.f) Crediti v/Stato per finanziamento sanitario aggiuntivo corrente</t>
  </si>
  <si>
    <t>B.II.1.g) Crediti v/Stato per spesa corrente - altro</t>
  </si>
  <si>
    <t>B.II.1.h) Crediti v/Stato per spesa corrente per STP (ex D.lgs. 286/98)</t>
  </si>
  <si>
    <t>B.II.1.i) Crediti v/Stato per finanziamenti per investimenti</t>
  </si>
  <si>
    <t>ABA290</t>
  </si>
  <si>
    <t>B.II.1.j) Crediti v/Stato per ricerca</t>
  </si>
  <si>
    <t>B.II.1.j.1) Crediti v/Stato per ricerca corrente - Ministero della Salute</t>
  </si>
  <si>
    <t>B.II.1.j.2) Crediti v/Stato per ricerca finalizzata - Ministero della Salute</t>
  </si>
  <si>
    <t xml:space="preserve">B.II.1.j.3) Crediti v/Stato per ricerca - altre Amministrazioni centrali </t>
  </si>
  <si>
    <t>B.II.1.j.4) Crediti v/Stato per ricerca - finanziamenti per investimenti</t>
  </si>
  <si>
    <t>B.II.1.k) Crediti v/prefetture</t>
  </si>
  <si>
    <t>B.II.2) Crediti v/Regione o Provincia Autonoma</t>
  </si>
  <si>
    <t>B.II.2.a) Crediti v/Regione o Provincia Autonoma per spesa corrente</t>
  </si>
  <si>
    <t>RR</t>
  </si>
  <si>
    <t>B.II.2.a.1) Crediti v/Regione o Provincia Autonoma per quota FSR</t>
  </si>
  <si>
    <t>B.II.2.a.2) Crediti v/Regione o Provincia Autonoma per mobilità attiva intraregionale</t>
  </si>
  <si>
    <t>B.II.2.a.3) Crediti v/Regione o Provincia Autonoma per mobilità attiva extraregionale</t>
  </si>
  <si>
    <t>B.II.2.a.4) Crediti v/Regione o Provincia Autonoma per acconto quota FSR</t>
  </si>
  <si>
    <t>B.II.2.a.5) Crediti v/Regione o Provincia Autonoma per finanziamento sanitario aggiuntivo corrente LEA</t>
  </si>
  <si>
    <t>B.II.2.a.6) Crediti v/Regione o Provincia Autonoma per finanziamento sanitario aggiuntivo corrente extra LEA</t>
  </si>
  <si>
    <t>B.II.2.a.7) Crediti v/Regione o Provincia Autonoma per spesa corrente - altro</t>
  </si>
  <si>
    <t>B.II.2.a.8) Crediti v/Regione o Provincia Autonoma per spesa corrente - STP (ex D.lgs. 286/98)</t>
  </si>
  <si>
    <t>B.II.2.a.9) Crediti v/Regione o Provincia Autonoma per ricerca</t>
  </si>
  <si>
    <t>B.II.2.a.10) Crediti v/Regione o Provincia Autonoma per mobilità attiva internazionale</t>
  </si>
  <si>
    <t>B.II.2.b) Crediti v/Regione o Provincia Autonoma per versamenti a patrimonio netto</t>
  </si>
  <si>
    <t>B.II.2.b.1) Crediti v/Regione o Provincia Autonoma per finanziamenti per investimenti</t>
  </si>
  <si>
    <t>B.II.2.b.2) Crediti v/Regione o Provincia Autonoma per incremento fondo dotazione</t>
  </si>
  <si>
    <t>B.II.2.b.3) Crediti v/Regione o Provincia Autonoma per ripiano perdite</t>
  </si>
  <si>
    <t>B.II.2.b.4) Crediti v/Regione o Provincia Autonoma per anticipazione ripiano disavanzo programmato dai Piani aziendali di cui all'art. 1, comma 528, L. 208/2015</t>
  </si>
  <si>
    <t>B.II.2.b.5) Crediti v/Regione per copertura debiti al 31/12/2005</t>
  </si>
  <si>
    <t>B.II.2.b.6) Crediti v/Regione o Provincia Autonoma per ricostituzione risorse da investimenti esercizi precedenti</t>
  </si>
  <si>
    <t>B.II.2.c)  Crediti v/Regione o Provincia Autonoma per contributi L. 210/92</t>
  </si>
  <si>
    <t>B.II.2.d) Crediti v/Regione o Provincia Autonoma per contributi L. 210/92 – aziende sanitarie</t>
  </si>
  <si>
    <t>B.II.3) Crediti v/Comuni</t>
  </si>
  <si>
    <t>B.II.4) Crediti v/Aziende sanitarie pubbliche</t>
  </si>
  <si>
    <t>ABA550</t>
  </si>
  <si>
    <t>B.II.4.a) Crediti v/Aziende sanitarie pubbliche della Regione</t>
  </si>
  <si>
    <t>B.II.4.a.1) Crediti v/Aziende sanitarie pubbliche della Regione - per mobilità in compensazione</t>
  </si>
  <si>
    <t>B.II.4.a.2) Crediti v/Aziende sanitarie pubbliche della Regione - per mobilità non in compensazione</t>
  </si>
  <si>
    <t>B.II.4.a.3) Crediti v/Aziende sanitarie pubbliche della Regione - per altre prestazioni</t>
  </si>
  <si>
    <t>B.II.4.b) Acconto quota FSR da distribuire</t>
  </si>
  <si>
    <t>B.II.4.c) Crediti v/Aziende sanitarie pubbliche della Regione per anticipazione ripiano disavanzo programmato dai Piani aziendali di cui all'art. 1, comma 528, L. 208/2015</t>
  </si>
  <si>
    <t>B.II.4.d) Crediti v/Aziende sanitarie pubbliche Extraregione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</si>
  <si>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</si>
  <si>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</si>
  <si>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</si>
  <si>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B.II.5.a) Crediti v/enti regionali</t>
  </si>
  <si>
    <t>B.II.5.b) Crediti v/sperimentazioni gestionali</t>
  </si>
  <si>
    <t>B.II.5.c) Crediti v/altre partecipate</t>
  </si>
  <si>
    <t>B.II.6) Crediti v/Erario</t>
  </si>
  <si>
    <t>ABA660</t>
  </si>
  <si>
    <t>B.II.7) Crediti v/altri</t>
  </si>
  <si>
    <t>B.II.7.a) Crediti v/clienti privati</t>
  </si>
  <si>
    <t>B.II.7.b) Crediti v/gestioni liquidatorie</t>
  </si>
  <si>
    <t>B.II.7.c) Crediti v/altri soggetti pubblici</t>
  </si>
  <si>
    <t>B.II.7.d) Crediti v/altri soggetti pubblici per ricerca</t>
  </si>
  <si>
    <t>B.II.7.e) Altri crediti diversi</t>
  </si>
  <si>
    <t xml:space="preserve">B.II.7.e.1) Altri Crediti  diversi </t>
  </si>
  <si>
    <t>B.II.7.e.2) Note di credito da emettere (diverse)</t>
  </si>
  <si>
    <t>B.II.7.f) Altri Crediti verso erogatori (privati accreditati e convenzionati) di prestazioni sanitarie</t>
  </si>
  <si>
    <t>B.II.7.f.1) Altri Crediti verso erogatori (privati accreditati e convenzionati) di prestazioni sanitarie</t>
  </si>
  <si>
    <t>B.II.7.f.2) Note di credito da emettere  (privati accreditati e convenzionati)</t>
  </si>
  <si>
    <t>ABA720</t>
  </si>
  <si>
    <t>B.III) ATTIVITA' FINANZIARIE CHE NON COSTITUISCONO IMMOBILIZZAZIONI</t>
  </si>
  <si>
    <t>B.III.1) Partecipazioni che non costituiscono immobilizzazioni</t>
  </si>
  <si>
    <t>B.III.2) Altri titoli che non costituiscono immobilizzazioni</t>
  </si>
  <si>
    <t>ABA750</t>
  </si>
  <si>
    <t>B.IV) DISPONIBILITA' LIQUIDE</t>
  </si>
  <si>
    <t>B.IV.1) Cassa</t>
  </si>
  <si>
    <t>B.IV.2) Istituto Tesoriere</t>
  </si>
  <si>
    <t>B.IV.3) Tesoreria Unica</t>
  </si>
  <si>
    <t>B.IV.4) Conto corrente postale</t>
  </si>
  <si>
    <t>ACZ999</t>
  </si>
  <si>
    <t>C) RATEI E RISCONTI ATTIVI</t>
  </si>
  <si>
    <t>ACA000</t>
  </si>
  <si>
    <t>C.I) RATEI ATTIVI</t>
  </si>
  <si>
    <t>C.I.1) Ratei attivi</t>
  </si>
  <si>
    <t>C.I.2) Ratei attivi v/Aziende sanitarie pubbliche della Regione</t>
  </si>
  <si>
    <t>ACA030</t>
  </si>
  <si>
    <t>C.II) RISCONTI ATTIVI</t>
  </si>
  <si>
    <t>C.II.1) Risconti attivi</t>
  </si>
  <si>
    <t>C.II.2) Risconti attivi v/Aziende sanitarie pubbliche della Regione</t>
  </si>
  <si>
    <t>D) TOTALE ATTIVO</t>
  </si>
  <si>
    <t>ADZ999</t>
  </si>
  <si>
    <t>E) CONTI D'ORDINE</t>
  </si>
  <si>
    <t>E.I) CANONI DI LEASING ANCORA DA PAGARE</t>
  </si>
  <si>
    <t>E.II) DEPOSITI CAUZIONALI</t>
  </si>
  <si>
    <t>E.III) BENI IN COMODATO</t>
  </si>
  <si>
    <t>E.IV) CANONI DI PROJECT FINANCING ANCORA DA PAGARE</t>
  </si>
  <si>
    <t>E.V) ALTRI CONTI D'ORDINE</t>
  </si>
  <si>
    <t>PAZ999</t>
  </si>
  <si>
    <t>A) PATRIMONIO NETTO</t>
  </si>
  <si>
    <t>A.I) FONDO DI DOTAZIONE</t>
  </si>
  <si>
    <t>PAA010</t>
  </si>
  <si>
    <t>A.II) FINANZIAMENTI PER INVESTIMENTI</t>
  </si>
  <si>
    <t>A.II.1) Finanziamenti per beni di prima dotazione</t>
  </si>
  <si>
    <t>PAA030</t>
  </si>
  <si>
    <t>A.II.2) Finanziamenti da Stato per investimenti</t>
  </si>
  <si>
    <t>A.II.2.a) Finanziamenti da Stato per investimenti - ex art. 20 legge 67/88</t>
  </si>
  <si>
    <t>A.II.2.b) Finanziamenti da Stato per investimenti - ricerca</t>
  </si>
  <si>
    <t>A.II.2.c) Finanziamenti da Stato per investimenti - altro</t>
  </si>
  <si>
    <t>A.II.3) Finanziamenti da Regione per investimenti</t>
  </si>
  <si>
    <t>A.II.4) Finanziamenti da altri soggetti pubblici per investimenti</t>
  </si>
  <si>
    <t>A.II.5) Finanziamenti per investimenti da rettifica contributi in conto esercizio</t>
  </si>
  <si>
    <t>A.III) RISERVE DA DONAZIONI E LASCITI VINCOLATI AD INVESTIMENTI</t>
  </si>
  <si>
    <t>PAA110</t>
  </si>
  <si>
    <t>A.IV) ALTRE RISERVE</t>
  </si>
  <si>
    <t>A.IV.1) Riserve da rivalutazioni</t>
  </si>
  <si>
    <t>A.IV.2) Riserve da plusvalenze da reinvestire</t>
  </si>
  <si>
    <t>A.IV.3) Contributi da reinvestire</t>
  </si>
  <si>
    <t>A.IV.4) Riserve da utili di esercizio destinati ad investimenti</t>
  </si>
  <si>
    <t>A.IV.5) Riserve diverse</t>
  </si>
  <si>
    <t>PAA170</t>
  </si>
  <si>
    <t>A.V) CONTRIBUTI PER RIPIANO PERDITE</t>
  </si>
  <si>
    <t>A.V.1) Contributi per copertura debiti al 31/12/2005</t>
  </si>
  <si>
    <t>A.V.2) Contributi per ricostituzione risorse da investimenti esercizi precedenti</t>
  </si>
  <si>
    <t>A.V.3) Altro</t>
  </si>
  <si>
    <t>A.VI) UTILI (PERDITE) PORTATI A NUOVO</t>
  </si>
  <si>
    <t>A.VII) UTILE (PERDITA) D'ESERCIZIO</t>
  </si>
  <si>
    <t>PBZ999</t>
  </si>
  <si>
    <t>B) FONDI PER RISCHI E ONERI</t>
  </si>
  <si>
    <t>B.I) FONDI PER IMPOSTE, ANCHE DIFFERITE</t>
  </si>
  <si>
    <t>PBA010</t>
  </si>
  <si>
    <t>B.II) FONDI PER RISCHI</t>
  </si>
  <si>
    <t>B.II.1) Fondo rischi per cause civili ed oneri processuali</t>
  </si>
  <si>
    <t>B.II.2) Fondo rischi per contenzioso personale dipendente</t>
  </si>
  <si>
    <t>B.II.3) Fondo rischi connessi all'acquisto di prestazioni sanitarie da privato</t>
  </si>
  <si>
    <t>B.II.4) Fondo rischi per copertura diretta dei rischi (autoassicurazione)</t>
  </si>
  <si>
    <t>B.II.5) Fondo rischi per franchigia assicurativa</t>
  </si>
  <si>
    <t>B.II.6) Fondo rischi per interessi di mora</t>
  </si>
  <si>
    <t>B.II.7) Altri fondi rischi</t>
  </si>
  <si>
    <t>PBA070</t>
  </si>
  <si>
    <t>B.III) FONDI DA DISTRIBUIRE</t>
  </si>
  <si>
    <t>B.III.1) FSR indistinto da distribuire</t>
  </si>
  <si>
    <t>B.III.2) FSR vincolato da distribuire</t>
  </si>
  <si>
    <t>B.III.3) Fondo per ripiano disavanzi pregressi</t>
  </si>
  <si>
    <t>B.III.4) Fondo finanziamento sanitario aggiuntivo corrente LEA</t>
  </si>
  <si>
    <t>B.III.5) Fondo finanziamento sanitario aggiuntivo corrente extra LEA</t>
  </si>
  <si>
    <t>B.III.6) Fondo finanziamento per ricerca</t>
  </si>
  <si>
    <t>B.III.7) Fondo finanziamento per investimenti</t>
  </si>
  <si>
    <t>B.III.8) Fondo finanziamento sanitario aggiuntivo corrente (extra fondo) - Risorse aggiuntive da bilancio regionale a titolo di copertura extra LEA</t>
  </si>
  <si>
    <t>B.IV) QUOTE INUTILIZZATE CONTRIBUTI</t>
  </si>
  <si>
    <t>B.IV.1) Quote inutilizzate contributi da Regione o Prov. Aut. per quota F.S. indistinto finalizzato</t>
  </si>
  <si>
    <t>B.IV.2) Quote inutilizzate contributi da Regione o Prov. Aut. per quota F.S. vincolato</t>
  </si>
  <si>
    <t>B.IV.3) Quote inutilizzate contributi vincolati da soggetti pubblici (extra fondo)</t>
  </si>
  <si>
    <t>B.IV.4) Quote inutilizzate contributi per ricerca</t>
  </si>
  <si>
    <t>B.IV.5) Quote inutilizzate contributi vincolati da privati</t>
  </si>
  <si>
    <t>PBA200</t>
  </si>
  <si>
    <t>B.V) ALTRI FONDI PER ONERI E SPESE</t>
  </si>
  <si>
    <t>B.V.1) Fondi integrativi pensione</t>
  </si>
  <si>
    <t>PBA220</t>
  </si>
  <si>
    <t>B.V.2) Fondi rinnovi contrattuali</t>
  </si>
  <si>
    <t xml:space="preserve">B.V.2.a) Fondo rinnovi contrattuali personale dipendente </t>
  </si>
  <si>
    <t>B.V.2.b) Fondo rinnovi convenzioni MMG/PLS/MCA</t>
  </si>
  <si>
    <t>B.V.2.c) Fondo rinnovi convenzioni medici Sumai</t>
  </si>
  <si>
    <t>B.V.3) Altri fondi per oneri e spese</t>
  </si>
  <si>
    <t>B.V.4) Altri Fondi incentivi funzioni tecniche Art. 113 D.Lgs 50/2016</t>
  </si>
  <si>
    <t>PCZ999</t>
  </si>
  <si>
    <t>C) TRATTAMENTO FINE RAPPORTO</t>
  </si>
  <si>
    <t>C.I) FONDO PER PREMI OPEROSITA' MEDICI SUMAI</t>
  </si>
  <si>
    <t>C.II) FONDO PER TRATTAMENTO DI FINE RAPPORTO DIPENDENTI</t>
  </si>
  <si>
    <t>C.III) FONDO PER TRATTAMENTI DI QUIESCENZA E SIMILI</t>
  </si>
  <si>
    <t>PDZ999</t>
  </si>
  <si>
    <t>D) DEBITI</t>
  </si>
  <si>
    <t>D.I) DEBITI PER MUTUI PASSIVI</t>
  </si>
  <si>
    <t>D.II) DEBITI V/STATO</t>
  </si>
  <si>
    <t>D.II.1) Debiti v/Stato per mobilità passiva extraregionale</t>
  </si>
  <si>
    <t>D.II.2) Debiti v/Stato per mobilità passiva internazionale</t>
  </si>
  <si>
    <t>D.II.3) Acconto quota FSR v/Stato</t>
  </si>
  <si>
    <t>D.II.4) Debiti v/Stato per restituzione finanziamenti - per ricerca</t>
  </si>
  <si>
    <t>D.II.5) Altri debiti v/Stato</t>
  </si>
  <si>
    <t>PDA070</t>
  </si>
  <si>
    <t>D.III) DEBITI V/REGIONE O PROVINCIA AUTONOMA</t>
  </si>
  <si>
    <t>D.III.1) Debiti v/Regione o Provincia Autonoma per finanziamenti - GSA</t>
  </si>
  <si>
    <t>D.III.2) Debiti v/Regione o Provincia Autonoma per finanziamenti</t>
  </si>
  <si>
    <t>D.III.3) Debiti v/Regione o Provincia Autonoma per mobilità passiva intraregionale</t>
  </si>
  <si>
    <t>D.III.4) Debiti v/Regione o Provincia Autonoma per mobilità passiva extraregionale</t>
  </si>
  <si>
    <t>D.III.5) Debiti v/Regione o Provincia Autonoma per mobilità passiva internazionale</t>
  </si>
  <si>
    <t>D.III.6) Acconto quota FSR da Regione o Provincia Autonoma</t>
  </si>
  <si>
    <t>D.III.7) Acconto da Regione o Provincia Autonoma per anticipazione ripiano disavanzo programmato dai Piani aziendali di cui all'art. 1, comma 528, L. 208/2015</t>
  </si>
  <si>
    <t xml:space="preserve">D.III.8) Debiti v/Regione o Provincia Autonoma per contributi L. 210/92 </t>
  </si>
  <si>
    <t>D.III.9) Altri debiti v/Regione o Provincia Autonoma – GSA</t>
  </si>
  <si>
    <t>D.III.10) Altri debiti v/Regione o Provincia Autonoma</t>
  </si>
  <si>
    <t>D.IV) DEBITI V/COMUNI</t>
  </si>
  <si>
    <t>D.V) DEBITI V/AZIENDE SANITARIE PUBBLICHE</t>
  </si>
  <si>
    <t>D.V.1) Debiti v/Aziende sanitarie pubbliche della Regione</t>
  </si>
  <si>
    <t>D.V.1.a) Debiti v/Aziende sanitarie pubbliche della Regione - per quota FSR</t>
  </si>
  <si>
    <t>D.V.1.b) Debiti v/Aziende sanitarie pubbliche della Regione - per finanziamento sanitario aggiuntivo corrente LEA</t>
  </si>
  <si>
    <t>D.V.1.c) Debiti v/Aziende sanitarie pubbliche della Regione - per finanziamento sanitario aggiuntivo corrente extra LEA</t>
  </si>
  <si>
    <t>D.V.1.d) Debiti v/Aziende sanitarie pubbliche della Regione - per mobilità in compensazione</t>
  </si>
  <si>
    <t>D.V.1.e) Debiti v/Aziende sanitarie pubbliche della Regione - per mobilità non in compensazione</t>
  </si>
  <si>
    <t>D.V.1.f) Debiti v/Aziende sanitarie pubbliche della Regione - per altre prestazioni</t>
  </si>
  <si>
    <t>D.V.1.g) Debiti v/Aziende sanitarie pubbliche della Regione - altre prestazioni per STP</t>
  </si>
  <si>
    <t xml:space="preserve">D.V.1.h)  Debiti v/Aziende sanitarie pubbliche della Regione - per Contributi da Aziende sanitarie pubbliche della Regione o Prov. Aut. (extra fondo) </t>
  </si>
  <si>
    <t xml:space="preserve">D.V.1.i) Debiti v/Aziende sanitarie pubbliche della Regione - per contributi L. 210/92 </t>
  </si>
  <si>
    <t xml:space="preserve">D.V.2) Debiti v/Aziende sanitarie pubbliche Extraregione </t>
  </si>
  <si>
    <t>D.V.3) Debiti v/Aziende sanitarie pubbliche della Regione per versamenti c/patrimonio netto</t>
  </si>
  <si>
    <t>D.V.3.a) Debiti v/Aziende sanitarie pubbliche della Regione per versamenti c/patrimonio netto - finanziamenti per investimenti</t>
  </si>
  <si>
    <t>D.V.3.b) Debiti v/Aziende sanitarie pubbliche della Regione per versamenti c/patrimonio netto - incremento fondo dotazione</t>
  </si>
  <si>
    <t>D.V.3.c) Debiti v/Aziende sanitarie pubbliche della Regione per versamenti c/patrimonio netto - ripiano perdite</t>
  </si>
  <si>
    <t>D.V.3.d) Debiti v/Aziende sanitarie pubbliche della Regione per anticipazione ripiano disavanzo programmato dai Piani aziendali di cui all'art. 1, comma 528, L. 208/2015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</si>
  <si>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</si>
  <si>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</si>
  <si>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</si>
  <si>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D.VI.1) Debiti v/enti regionali</t>
  </si>
  <si>
    <t>D.VI.2) Debiti v/sperimentazioni gestionali</t>
  </si>
  <si>
    <t>D.VI.3) Debiti v/altre partecipate</t>
  </si>
  <si>
    <t>PDA280</t>
  </si>
  <si>
    <t>D.VII) DEBITI V/FORNITORI</t>
  </si>
  <si>
    <t xml:space="preserve">D.VII.1) Debiti verso erogatori (privati accreditati e convenzionati) di prestazioni sanitarie </t>
  </si>
  <si>
    <t xml:space="preserve">D.VII.1.a) Debiti verso erogatori (privati accreditati e convenzionati) di prestazioni sanitarie </t>
  </si>
  <si>
    <t>D.VII.1.b) Note di credito da ricevere (privati accreditati e convenzionati)</t>
  </si>
  <si>
    <t>D.VII.2) Debiti verso altri fornitori</t>
  </si>
  <si>
    <t>D.VII.2.a) Debiti verso altri fornitori</t>
  </si>
  <si>
    <t>D.VII.2.b) Note di credito da ricevere (altri fornitori)</t>
  </si>
  <si>
    <t>D.VIII) DEBITI V/ISTITUTO TESORIERE</t>
  </si>
  <si>
    <t>D.IX) DEBITI TRIBUTARI</t>
  </si>
  <si>
    <t>D.X) DEBITI V/ISTITUTI PREVIDENZIALI, ASSISTENZIALI E SICUREZZA SOCIALE</t>
  </si>
  <si>
    <t>PDA340</t>
  </si>
  <si>
    <t>D.XI) DEBITI V/ALTRI</t>
  </si>
  <si>
    <t>D.XI.1) Debiti v/altri finanziatori</t>
  </si>
  <si>
    <t>D.XI.2) Debiti v/dipendenti</t>
  </si>
  <si>
    <t>D.XI.3) Debiti v/gestioni liquidatorie</t>
  </si>
  <si>
    <t>D.XI.4) Altri debiti diversi</t>
  </si>
  <si>
    <t>PEZ999</t>
  </si>
  <si>
    <t>E) RATEI E RISCONTI PASSIVI</t>
  </si>
  <si>
    <t>PEA000</t>
  </si>
  <si>
    <t>E.I) RATEI PASSIVI</t>
  </si>
  <si>
    <t>E.I.1) Ratei passivi</t>
  </si>
  <si>
    <t>E.I.2) Ratei passivi v/Aziende sanitarie pubbliche della Regione</t>
  </si>
  <si>
    <t>PEA030</t>
  </si>
  <si>
    <t>E.II) RISCONTI PASSIVI</t>
  </si>
  <si>
    <t>E.II.1) Risconti passivi</t>
  </si>
  <si>
    <t>E.II.2) Risconti passivi v/Aziende sanitarie pubbliche della Regione</t>
  </si>
  <si>
    <t>E.II.3) Risconti passivi - in attuazione dell’art.79, comma 1 sexies lettera c), del D.L. 112/2008, convertito con legge 133/2008 e della legge 23 dicembre 2009 n. 191</t>
  </si>
  <si>
    <t>F) TOTALE PASSIVO E PATRIMONIO NETTO</t>
  </si>
  <si>
    <t>PFZ999</t>
  </si>
  <si>
    <t>G) CONTI D'ORDINE</t>
  </si>
  <si>
    <t>G.I) CANONI DI LEASING ANCORA DA PAGARE</t>
  </si>
  <si>
    <t>G.II) DEPOSITI CAUZIONALI</t>
  </si>
  <si>
    <t>G.III) BENI IN COMODATO</t>
  </si>
  <si>
    <t>G.IV) CANONI DI PROJECT FINANCING ANCORA DA PAGARE</t>
  </si>
  <si>
    <t>G.V) ALTRI CONTI D'ORDINE</t>
  </si>
  <si>
    <t>Il Direttore Amministrativo</t>
  </si>
  <si>
    <t>Il Direttore Generale</t>
  </si>
  <si>
    <t>STATO PATRIMONIALE
Attivo</t>
  </si>
  <si>
    <t>Importi: Unità di Euro</t>
  </si>
  <si>
    <t>Anno 2023</t>
  </si>
  <si>
    <t>Anno 2022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</si>
  <si>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</si>
  <si>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</si>
  <si>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</si>
  <si>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</si>
  <si>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</si>
  <si>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</si>
  <si>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5)</t>
  </si>
  <si>
    <t>Immobilizzazioni materiali</t>
  </si>
  <si>
    <t>a)</t>
  </si>
  <si>
    <t>b)</t>
  </si>
  <si>
    <t>6)</t>
  </si>
  <si>
    <t>7)</t>
  </si>
  <si>
    <t>8)</t>
  </si>
  <si>
    <t>9)</t>
  </si>
  <si>
    <t>Entro 12 mesi</t>
  </si>
  <si>
    <t>Oltre 12 mesi</t>
  </si>
  <si>
    <t>Immobilizzazioni finanziarie (con separata indicazione, per ciascuna voce dei crediti, degli importi esigibili entro l'esercizio successivo)</t>
  </si>
  <si>
    <t>c)</t>
  </si>
  <si>
    <t>d)</t>
  </si>
  <si>
    <t>Totale A)</t>
  </si>
  <si>
    <t>ATTIVO CIRCOLANTE</t>
  </si>
  <si>
    <t>Rimanenze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</si>
  <si>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</si>
  <si>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</si>
  <si>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</si>
  <si>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 parte corrente</t>
  </si>
  <si>
    <t>Crediti v/Stato per spesa corrente ed acconti</t>
  </si>
  <si>
    <t>Crediti v/Stato -  altro</t>
  </si>
  <si>
    <t>Crediti v/Stato per investimenti</t>
  </si>
  <si>
    <t xml:space="preserve">Crediti v/Ministero della Salute per ricerca corrente </t>
  </si>
  <si>
    <t>Crediti v/ Ministero della Salute per ricerca finalizzata</t>
  </si>
  <si>
    <t>Crediti v/Stato - investimenti per ricerca</t>
  </si>
  <si>
    <t>Crediti v/Regione o Provincia Autonoma - parte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</si>
  <si>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</si>
  <si>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</si>
  <si>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</si>
  <si>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</si>
  <si>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- patrimonio netto</t>
  </si>
  <si>
    <t>Crediti v/Regione o Provincia Aut. per finanz.per investimenti</t>
  </si>
  <si>
    <t>Crediti v/Regione o Provincia Aut. per increm. fondo dotazione</t>
  </si>
  <si>
    <t>Crediti v/Aziende sanitarie pubbliche e acconto quota FSR da distribuire</t>
  </si>
  <si>
    <t>Crediti v/Aziende sanitarie pubbliche fuori Regione</t>
  </si>
  <si>
    <t>Attività finanziarie che non costituiscono immobilizzazioni</t>
  </si>
  <si>
    <t>Disponibilità liquide</t>
  </si>
  <si>
    <t>Totale B)</t>
  </si>
  <si>
    <t>Totale C)</t>
  </si>
  <si>
    <t>TOTALE ATTIVO (A+B+C)</t>
  </si>
  <si>
    <t xml:space="preserve">1) </t>
  </si>
  <si>
    <t>Canoni leasing ancora da pagare</t>
  </si>
  <si>
    <t>Beni in comodato</t>
  </si>
  <si>
    <t>Altri conti d'ordine</t>
  </si>
  <si>
    <t>Totale D)</t>
  </si>
  <si>
    <t>STATO PATRIMONIALE
Passivo e Patrimonio netto</t>
  </si>
  <si>
    <t>Importi: unità di Euro</t>
  </si>
  <si>
    <t>Fondo di dotazione</t>
  </si>
  <si>
    <t>Finanziamenti per investimenti</t>
  </si>
  <si>
    <t xml:space="preserve">a) </t>
  </si>
  <si>
    <t>Finanziamenti da Stato per ricerca</t>
  </si>
  <si>
    <t xml:space="preserve">c) </t>
  </si>
  <si>
    <t>Finanziamenti da Stato - altro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</si>
  <si>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</si>
  <si>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</si>
  <si>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</si>
  <si>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</si>
  <si>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</si>
  <si>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</si>
  <si>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</si>
  <si>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</si>
  <si>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</si>
  <si>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</si>
  <si>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</si>
  <si>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</si>
  <si>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</si>
  <si>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</si>
  <si>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</si>
  <si>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</si>
  <si>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</si>
  <si>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</si>
  <si>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</si>
  <si>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</si>
  <si>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</si>
  <si>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</si>
  <si>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</si>
  <si>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</si>
  <si>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</si>
  <si>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</si>
  <si>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</si>
  <si>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</si>
  <si>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</si>
  <si>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</si>
  <si>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</si>
  <si>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</si>
  <si>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</si>
  <si>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</si>
  <si>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</si>
  <si>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</si>
  <si>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</si>
  <si>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Totale E)</t>
  </si>
  <si>
    <t>TOTALE PASSIVO E PATRIMONIO NETTO (A+B+C+D+E)</t>
  </si>
  <si>
    <t>F)</t>
  </si>
  <si>
    <t>Totale F)</t>
  </si>
  <si>
    <t>SCHEMA DI RENDICONTO FINANZIARIO</t>
  </si>
  <si>
    <t>ANNO 2022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</si>
  <si>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</si>
  <si>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</si>
  <si>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</si>
  <si>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</si>
  <si>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</si>
  <si>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</si>
  <si>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</si>
  <si>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</si>
  <si>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</si>
  <si>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</si>
  <si>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</si>
  <si>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</si>
  <si>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</si>
  <si>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</si>
  <si>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</si>
  <si>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</si>
  <si>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</si>
  <si>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</si>
  <si>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</si>
  <si>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</si>
  <si>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</si>
  <si>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</si>
  <si>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</si>
  <si>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</si>
  <si>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</si>
  <si>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</si>
  <si>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</si>
  <si>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</si>
  <si>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</si>
  <si>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</si>
  <si>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</si>
  <si>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COMPILARE MANUALMENTE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</si>
  <si>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</si>
  <si>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</si>
  <si>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</si>
  <si>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</si>
  <si>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</si>
  <si>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</si>
  <si>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</si>
  <si>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SOLO PER GSA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</si>
  <si>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</si>
  <si>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</si>
  <si>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</si>
  <si>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</si>
  <si>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</si>
  <si>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</si>
  <si>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</si>
  <si>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</si>
  <si>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</si>
  <si>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</si>
  <si>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</si>
  <si>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</si>
  <si>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</si>
  <si>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'posta a pareggio svalutazioni e fondi svalutazione = '- svalutazioni crediti + utilizzi fondi svalutazioni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</si>
  <si>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</si>
  <si>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</si>
  <si>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</si>
  <si>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</si>
  <si>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</si>
  <si>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</si>
  <si>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</si>
  <si>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</si>
  <si>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</si>
  <si>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</si>
  <si>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</si>
  <si>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</si>
  <si>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</si>
  <si>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</si>
  <si>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</si>
  <si>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</si>
  <si>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</si>
  <si>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</si>
  <si>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</si>
  <si>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</si>
  <si>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</si>
  <si>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</si>
  <si>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</si>
  <si>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</si>
  <si>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</si>
  <si>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</si>
  <si>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</si>
  <si>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</si>
  <si>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</si>
  <si>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</si>
  <si>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</si>
  <si>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</si>
  <si>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</si>
  <si>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</si>
  <si>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</si>
  <si>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</si>
  <si>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</si>
  <si>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</si>
  <si>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</si>
  <si>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</si>
  <si>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</si>
  <si>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</si>
  <si>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</si>
  <si>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Totale = - SP A) Immobilizzazioni - Ammortamenti - svalutazioni + Utilizzi fondo svalutazioni + Fornitori x immobilizzazioni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</si>
  <si>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</si>
  <si>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</si>
  <si>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</si>
  <si>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</si>
  <si>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</si>
  <si>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</si>
  <si>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</si>
  <si>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</si>
  <si>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</si>
  <si>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</si>
  <si>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</si>
  <si>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</si>
  <si>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</si>
  <si>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</si>
  <si>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</si>
  <si>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</si>
  <si>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</si>
  <si>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ANNO 2023</t>
  </si>
  <si>
    <t>inserita qua la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</si>
</sst>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  <numFmt numFmtId="176" formatCode="0.0"/>
    <numFmt numFmtId="177" formatCode="#,##0.00_ ;\-#,##0.00\ "/>
    <numFmt numFmtId="178" formatCode="_ * #,##0.00_ ;_ * \-#,##0.00_ ;_ * &quot;-&quot;??_ ;_ @_ "/>
    <numFmt numFmtId="179" formatCode="_ * #,##0_ ;_ * \-#,##0_ ;_ * &quot;-&quot;??_ ;_ @_ "/>
    <numFmt numFmtId="180" formatCode="_-* #,##0.0\ _€_-;\-* #,##0.0\ _€_-;_-* &quot;-&quot;??\ _€_-;_-@_-"/>
    <numFmt numFmtId="181" formatCode="_-* #,##0_-;\-* #,##0_-;_-* &quot;-&quot;??_-;_-@_-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rgb="FFFF0000"/>
      <name val="DecimaWE Rg"/>
    </font>
    <font>
      <sz val="9"/>
      <name val="Tahoma"/>
      <family val="2"/>
    </font>
    <font>
      <b/>
      <i/>
      <strike/>
      <sz val="10"/>
      <name val="Tahoma"/>
      <family val="2"/>
    </font>
    <font>
      <sz val="10"/>
      <color indexed="8"/>
      <name val="DecimaWE Rg"/>
    </font>
    <font>
      <sz val="16"/>
      <name val="Tahoma"/>
      <family val="2"/>
    </font>
    <font>
      <sz val="10"/>
      <color theme="0"/>
      <name val="Tahoma"/>
      <family val="2"/>
    </font>
    <font>
      <b/>
      <sz val="10"/>
      <color rgb="FFFF0000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trike/>
      <sz val="10"/>
      <name val="Tahoma"/>
      <family val="2"/>
    </font>
    <font>
      <b/>
      <sz val="14"/>
      <name val="DecimaWE Rg"/>
    </font>
    <font>
      <sz val="8"/>
      <color rgb="FFFF0000"/>
      <name val="DecimaWE Rg"/>
    </font>
    <font>
      <b/>
      <sz val="8"/>
      <color rgb="FFFF0000"/>
      <name val="DecimaWE Rg"/>
    </font>
    <font>
      <sz val="9"/>
      <color indexed="81"/>
      <name val="Tahoma"/>
      <family val="2"/>
    </font>
    <font>
      <b/>
      <sz val="10"/>
      <color indexed="9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8" applyNumberFormat="0" applyAlignment="0" applyProtection="0"/>
    <xf numFmtId="0" fontId="23" fillId="0" borderId="49" applyNumberFormat="0" applyFill="0" applyAlignment="0" applyProtection="0"/>
    <xf numFmtId="0" fontId="24" fillId="14" borderId="50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8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1" applyNumberFormat="0" applyAlignment="0" applyProtection="0"/>
    <xf numFmtId="0" fontId="31" fillId="9" borderId="52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3">
      <alignment vertical="center"/>
    </xf>
    <xf numFmtId="49" fontId="7" fillId="20" borderId="53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4" applyNumberFormat="0" applyFill="0" applyAlignment="0" applyProtection="0"/>
    <xf numFmtId="0" fontId="36" fillId="0" borderId="55" applyNumberFormat="0" applyFill="0" applyAlignment="0" applyProtection="0"/>
    <xf numFmtId="0" fontId="37" fillId="0" borderId="5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7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59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28" fillId="0" borderId="0"/>
    <xf numFmtId="166" fontId="90" fillId="0" borderId="0"/>
  </cellStyleXfs>
  <cellXfs count="997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6" fillId="3" borderId="1" xfId="5" applyFont="1" applyFill="1" applyBorder="1" applyAlignment="1">
      <alignment horizontal="left" vertical="center" wrapText="1"/>
    </xf>
    <xf numFmtId="0" fontId="6" fillId="3" borderId="3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8" fillId="0" borderId="0" xfId="4" applyFont="1" applyAlignment="1">
      <alignment vertical="center" wrapText="1"/>
    </xf>
    <xf numFmtId="0" fontId="8" fillId="0" borderId="39" xfId="5" applyFont="1" applyBorder="1" applyAlignment="1">
      <alignment horizontal="center" vertical="center"/>
    </xf>
    <xf numFmtId="0" fontId="8" fillId="0" borderId="9" xfId="5" applyFont="1" applyBorder="1" applyAlignment="1">
      <alignment horizontal="left" vertical="center" wrapText="1"/>
    </xf>
    <xf numFmtId="0" fontId="6" fillId="0" borderId="2" xfId="6" applyFont="1" applyBorder="1" applyAlignment="1">
      <alignment vertical="center" wrapText="1"/>
    </xf>
    <xf numFmtId="0" fontId="6" fillId="0" borderId="40" xfId="6" applyFont="1" applyBorder="1" applyAlignment="1">
      <alignment vertical="center" wrapText="1"/>
    </xf>
    <xf numFmtId="0" fontId="6" fillId="0" borderId="19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3" borderId="45" xfId="5" applyFont="1" applyFill="1" applyBorder="1" applyAlignment="1">
      <alignment horizontal="left" vertical="center" wrapText="1"/>
    </xf>
    <xf numFmtId="39" fontId="8" fillId="3" borderId="38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6" fillId="3" borderId="37" xfId="5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3" fillId="23" borderId="0" xfId="4" applyFont="1" applyFill="1" applyAlignment="1">
      <alignment vertical="center"/>
    </xf>
    <xf numFmtId="0" fontId="46" fillId="0" borderId="0" xfId="4" applyFont="1" applyAlignment="1">
      <alignment horizontal="left" vertical="center"/>
    </xf>
    <xf numFmtId="0" fontId="48" fillId="24" borderId="0" xfId="4" applyFont="1" applyFill="1" applyAlignment="1">
      <alignment vertical="center"/>
    </xf>
    <xf numFmtId="0" fontId="46" fillId="23" borderId="0" xfId="4" applyFont="1" applyFill="1" applyAlignment="1">
      <alignment vertical="center"/>
    </xf>
    <xf numFmtId="0" fontId="46" fillId="23" borderId="0" xfId="4" applyFont="1" applyFill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6" fillId="23" borderId="24" xfId="4" applyFont="1" applyFill="1" applyBorder="1" applyAlignment="1">
      <alignment horizontal="center" vertical="center"/>
    </xf>
    <xf numFmtId="0" fontId="42" fillId="23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49" fillId="0" borderId="23" xfId="5" applyFont="1" applyBorder="1" applyAlignment="1">
      <alignment horizontal="center" vertical="center" wrapText="1"/>
    </xf>
    <xf numFmtId="0" fontId="49" fillId="24" borderId="0" xfId="5" applyFont="1" applyFill="1" applyAlignment="1">
      <alignment vertical="center" wrapText="1"/>
    </xf>
    <xf numFmtId="0" fontId="49" fillId="24" borderId="0" xfId="5" applyFont="1" applyFill="1" applyAlignment="1">
      <alignment vertical="center"/>
    </xf>
    <xf numFmtId="0" fontId="51" fillId="0" borderId="0" xfId="4" applyFont="1" applyAlignment="1">
      <alignment vertical="center" wrapText="1"/>
    </xf>
    <xf numFmtId="0" fontId="49" fillId="0" borderId="46" xfId="5" applyFont="1" applyBorder="1" applyAlignment="1">
      <alignment horizontal="center" vertical="center" wrapText="1"/>
    </xf>
    <xf numFmtId="0" fontId="49" fillId="0" borderId="46" xfId="5" applyFont="1" applyBorder="1" applyAlignment="1">
      <alignment horizontal="left" vertical="center" wrapText="1"/>
    </xf>
    <xf numFmtId="164" fontId="52" fillId="0" borderId="39" xfId="116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0" fontId="55" fillId="0" borderId="46" xfId="5" applyFont="1" applyBorder="1" applyAlignment="1">
      <alignment horizontal="center" vertical="center" wrapText="1"/>
    </xf>
    <xf numFmtId="0" fontId="55" fillId="0" borderId="46" xfId="5" applyFont="1" applyBorder="1" applyAlignment="1">
      <alignment horizontal="left" vertical="center" wrapText="1"/>
    </xf>
    <xf numFmtId="0" fontId="54" fillId="0" borderId="46" xfId="5" applyFont="1" applyBorder="1" applyAlignment="1">
      <alignment horizontal="center" vertical="center" wrapText="1"/>
    </xf>
    <xf numFmtId="0" fontId="54" fillId="0" borderId="46" xfId="5" applyFont="1" applyBorder="1" applyAlignment="1">
      <alignment horizontal="left" vertical="center" wrapText="1"/>
    </xf>
    <xf numFmtId="0" fontId="46" fillId="0" borderId="46" xfId="5" applyFont="1" applyBorder="1" applyAlignment="1">
      <alignment horizontal="center" vertical="center" wrapText="1"/>
    </xf>
    <xf numFmtId="0" fontId="46" fillId="0" borderId="46" xfId="5" applyFont="1" applyBorder="1" applyAlignment="1">
      <alignment horizontal="left" vertical="center" wrapText="1"/>
    </xf>
    <xf numFmtId="0" fontId="46" fillId="24" borderId="46" xfId="5" applyFont="1" applyFill="1" applyBorder="1" applyAlignment="1">
      <alignment horizontal="center" vertical="center" wrapText="1"/>
    </xf>
    <xf numFmtId="0" fontId="46" fillId="24" borderId="46" xfId="5" applyFont="1" applyFill="1" applyBorder="1" applyAlignment="1">
      <alignment horizontal="left" vertical="center" wrapText="1"/>
    </xf>
    <xf numFmtId="164" fontId="52" fillId="0" borderId="39" xfId="116" applyFont="1" applyFill="1" applyBorder="1" applyAlignment="1">
      <alignment horizontal="right" vertical="center" wrapText="1"/>
    </xf>
    <xf numFmtId="0" fontId="54" fillId="26" borderId="46" xfId="5" applyFont="1" applyFill="1" applyBorder="1" applyAlignment="1">
      <alignment horizontal="center" vertical="center" wrapText="1"/>
    </xf>
    <xf numFmtId="0" fontId="54" fillId="26" borderId="46" xfId="5" applyFont="1" applyFill="1" applyBorder="1" applyAlignment="1">
      <alignment horizontal="left" vertical="center" wrapText="1"/>
    </xf>
    <xf numFmtId="164" fontId="52" fillId="26" borderId="39" xfId="116" applyFont="1" applyFill="1" applyBorder="1" applyAlignment="1">
      <alignment horizontal="right" vertical="center" wrapText="1"/>
    </xf>
    <xf numFmtId="0" fontId="53" fillId="0" borderId="0" xfId="4" applyFont="1" applyAlignment="1">
      <alignment vertical="center" wrapText="1"/>
    </xf>
    <xf numFmtId="0" fontId="54" fillId="24" borderId="46" xfId="5" applyFont="1" applyFill="1" applyBorder="1" applyAlignment="1">
      <alignment horizontal="center" vertical="center" wrapText="1"/>
    </xf>
    <xf numFmtId="0" fontId="54" fillId="24" borderId="46" xfId="5" applyFont="1" applyFill="1" applyBorder="1" applyAlignment="1">
      <alignment horizontal="left" vertical="center" wrapText="1"/>
    </xf>
    <xf numFmtId="0" fontId="54" fillId="24" borderId="63" xfId="5" applyFont="1" applyFill="1" applyBorder="1" applyAlignment="1">
      <alignment horizontal="left" vertical="center" wrapText="1"/>
    </xf>
    <xf numFmtId="0" fontId="46" fillId="24" borderId="0" xfId="5" applyFont="1" applyFill="1" applyAlignment="1">
      <alignment vertical="center"/>
    </xf>
    <xf numFmtId="0" fontId="46" fillId="24" borderId="0" xfId="4" applyFont="1" applyFill="1" applyAlignment="1">
      <alignment horizontal="center" vertical="center"/>
    </xf>
    <xf numFmtId="0" fontId="46" fillId="24" borderId="0" xfId="4" applyFont="1" applyFill="1" applyAlignment="1">
      <alignment vertical="center"/>
    </xf>
    <xf numFmtId="0" fontId="43" fillId="24" borderId="0" xfId="4" applyFont="1" applyFill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0" xfId="5" applyFont="1" applyAlignment="1">
      <alignment vertical="center"/>
    </xf>
    <xf numFmtId="0" fontId="46" fillId="0" borderId="0" xfId="4" applyFont="1" applyAlignment="1">
      <alignment vertical="center"/>
    </xf>
    <xf numFmtId="164" fontId="52" fillId="4" borderId="39" xfId="116" applyFont="1" applyFill="1" applyBorder="1" applyAlignment="1">
      <alignment horizontal="right" vertical="center" wrapText="1"/>
    </xf>
    <xf numFmtId="0" fontId="55" fillId="4" borderId="46" xfId="5" applyFont="1" applyFill="1" applyBorder="1" applyAlignment="1">
      <alignment horizontal="center" vertical="center" wrapText="1"/>
    </xf>
    <xf numFmtId="0" fontId="55" fillId="4" borderId="46" xfId="5" applyFont="1" applyFill="1" applyBorder="1" applyAlignment="1">
      <alignment horizontal="left" vertical="center" wrapText="1"/>
    </xf>
    <xf numFmtId="0" fontId="50" fillId="27" borderId="60" xfId="5" applyFont="1" applyFill="1" applyBorder="1" applyAlignment="1">
      <alignment horizontal="center" vertical="center" wrapText="1"/>
    </xf>
    <xf numFmtId="0" fontId="51" fillId="27" borderId="60" xfId="5" applyFont="1" applyFill="1" applyBorder="1" applyAlignment="1">
      <alignment vertical="center" wrapText="1"/>
    </xf>
    <xf numFmtId="164" fontId="52" fillId="27" borderId="61" xfId="116" applyFont="1" applyFill="1" applyBorder="1" applyAlignment="1">
      <alignment horizontal="right" vertical="center" wrapText="1"/>
    </xf>
    <xf numFmtId="0" fontId="49" fillId="28" borderId="46" xfId="5" applyFont="1" applyFill="1" applyBorder="1" applyAlignment="1">
      <alignment horizontal="center" vertical="center" wrapText="1"/>
    </xf>
    <xf numFmtId="0" fontId="49" fillId="28" borderId="46" xfId="5" applyFont="1" applyFill="1" applyBorder="1" applyAlignment="1">
      <alignment horizontal="left" vertical="center" wrapText="1"/>
    </xf>
    <xf numFmtId="164" fontId="52" fillId="28" borderId="39" xfId="116" applyFont="1" applyFill="1" applyBorder="1" applyAlignment="1">
      <alignment horizontal="right" vertical="center" wrapText="1"/>
    </xf>
    <xf numFmtId="0" fontId="49" fillId="29" borderId="46" xfId="5" applyFont="1" applyFill="1" applyBorder="1" applyAlignment="1">
      <alignment horizontal="center" vertical="center" wrapText="1"/>
    </xf>
    <xf numFmtId="0" fontId="49" fillId="29" borderId="46" xfId="5" applyFont="1" applyFill="1" applyBorder="1" applyAlignment="1">
      <alignment horizontal="left" vertical="center" wrapText="1"/>
    </xf>
    <xf numFmtId="164" fontId="52" fillId="29" borderId="39" xfId="116" applyFont="1" applyFill="1" applyBorder="1" applyAlignment="1">
      <alignment horizontal="right" vertical="center" wrapText="1"/>
    </xf>
    <xf numFmtId="0" fontId="54" fillId="30" borderId="46" xfId="5" applyFont="1" applyFill="1" applyBorder="1" applyAlignment="1">
      <alignment horizontal="center" vertical="center" wrapText="1"/>
    </xf>
    <xf numFmtId="0" fontId="54" fillId="30" borderId="46" xfId="5" applyFont="1" applyFill="1" applyBorder="1" applyAlignment="1">
      <alignment horizontal="left" vertical="center" wrapText="1"/>
    </xf>
    <xf numFmtId="164" fontId="52" fillId="30" borderId="39" xfId="116" applyFont="1" applyFill="1" applyBorder="1" applyAlignment="1">
      <alignment horizontal="right" vertical="center" wrapText="1"/>
    </xf>
    <xf numFmtId="0" fontId="46" fillId="31" borderId="46" xfId="5" applyFont="1" applyFill="1" applyBorder="1" applyAlignment="1">
      <alignment horizontal="center" vertical="center" wrapText="1"/>
    </xf>
    <xf numFmtId="0" fontId="46" fillId="31" borderId="46" xfId="5" applyFont="1" applyFill="1" applyBorder="1" applyAlignment="1">
      <alignment horizontal="left" vertical="center" wrapText="1"/>
    </xf>
    <xf numFmtId="164" fontId="52" fillId="31" borderId="39" xfId="116" applyFont="1" applyFill="1" applyBorder="1" applyAlignment="1">
      <alignment horizontal="right" vertical="center" wrapText="1"/>
    </xf>
    <xf numFmtId="0" fontId="54" fillId="31" borderId="46" xfId="5" applyFont="1" applyFill="1" applyBorder="1" applyAlignment="1">
      <alignment horizontal="center" vertical="center" wrapText="1"/>
    </xf>
    <xf numFmtId="0" fontId="54" fillId="31" borderId="46" xfId="5" applyFont="1" applyFill="1" applyBorder="1" applyAlignment="1">
      <alignment horizontal="left" vertical="center" wrapText="1"/>
    </xf>
    <xf numFmtId="164" fontId="58" fillId="31" borderId="39" xfId="116" applyFont="1" applyFill="1" applyBorder="1" applyAlignment="1">
      <alignment horizontal="right" vertical="center" wrapText="1"/>
    </xf>
    <xf numFmtId="164" fontId="52" fillId="32" borderId="39" xfId="116" applyFont="1" applyFill="1" applyBorder="1" applyAlignment="1">
      <alignment horizontal="right" vertical="center" wrapText="1"/>
    </xf>
    <xf numFmtId="0" fontId="46" fillId="27" borderId="46" xfId="5" applyFont="1" applyFill="1" applyBorder="1" applyAlignment="1">
      <alignment horizontal="center" vertical="center" wrapText="1"/>
    </xf>
    <xf numFmtId="0" fontId="49" fillId="27" borderId="46" xfId="5" applyFont="1" applyFill="1" applyBorder="1" applyAlignment="1">
      <alignment horizontal="left" vertical="center" wrapText="1"/>
    </xf>
    <xf numFmtId="164" fontId="52" fillId="27" borderId="39" xfId="116" applyFont="1" applyFill="1" applyBorder="1" applyAlignment="1">
      <alignment horizontal="right" vertical="center" wrapText="1"/>
    </xf>
    <xf numFmtId="0" fontId="6" fillId="0" borderId="38" xfId="5" applyFont="1" applyBorder="1" applyAlignment="1">
      <alignment horizontal="center" vertical="center" wrapText="1"/>
    </xf>
    <xf numFmtId="0" fontId="42" fillId="27" borderId="46" xfId="5" applyFont="1" applyFill="1" applyBorder="1" applyAlignment="1">
      <alignment horizontal="left" vertical="center" wrapText="1"/>
    </xf>
    <xf numFmtId="0" fontId="55" fillId="30" borderId="46" xfId="5" applyFont="1" applyFill="1" applyBorder="1" applyAlignment="1">
      <alignment horizontal="center" vertical="center" wrapText="1"/>
    </xf>
    <xf numFmtId="0" fontId="55" fillId="30" borderId="46" xfId="5" applyFont="1" applyFill="1" applyBorder="1" applyAlignment="1">
      <alignment horizontal="left" vertical="center" wrapText="1"/>
    </xf>
    <xf numFmtId="0" fontId="57" fillId="33" borderId="46" xfId="5" applyFont="1" applyFill="1" applyBorder="1" applyAlignment="1">
      <alignment horizontal="center" vertical="center" wrapText="1"/>
    </xf>
    <xf numFmtId="0" fontId="57" fillId="33" borderId="46" xfId="5" applyFont="1" applyFill="1" applyBorder="1" applyAlignment="1">
      <alignment horizontal="left" vertical="center" wrapText="1"/>
    </xf>
    <xf numFmtId="164" fontId="52" fillId="33" borderId="39" xfId="116" applyFont="1" applyFill="1" applyBorder="1" applyAlignment="1">
      <alignment horizontal="right" vertical="center" wrapText="1"/>
    </xf>
    <xf numFmtId="0" fontId="57" fillId="32" borderId="46" xfId="5" applyFont="1" applyFill="1" applyBorder="1" applyAlignment="1">
      <alignment horizontal="center" vertical="center" wrapText="1"/>
    </xf>
    <xf numFmtId="0" fontId="57" fillId="32" borderId="46" xfId="5" applyFont="1" applyFill="1" applyBorder="1" applyAlignment="1">
      <alignment horizontal="left" vertical="center" wrapText="1"/>
    </xf>
    <xf numFmtId="0" fontId="46" fillId="34" borderId="46" xfId="5" applyFont="1" applyFill="1" applyBorder="1" applyAlignment="1">
      <alignment horizontal="center" vertical="center" wrapText="1"/>
    </xf>
    <xf numFmtId="0" fontId="46" fillId="34" borderId="46" xfId="5" applyFont="1" applyFill="1" applyBorder="1" applyAlignment="1">
      <alignment horizontal="left" vertical="center" wrapText="1"/>
    </xf>
    <xf numFmtId="164" fontId="52" fillId="34" borderId="39" xfId="116" applyFont="1" applyFill="1" applyBorder="1" applyAlignment="1">
      <alignment horizontal="right" vertical="center" wrapText="1"/>
    </xf>
    <xf numFmtId="0" fontId="49" fillId="35" borderId="18" xfId="5" applyFont="1" applyFill="1" applyBorder="1" applyAlignment="1">
      <alignment horizontal="center" vertical="center" wrapText="1"/>
    </xf>
    <xf numFmtId="0" fontId="49" fillId="35" borderId="18" xfId="5" applyFont="1" applyFill="1" applyBorder="1" applyAlignment="1">
      <alignment horizontal="left" vertical="center" wrapText="1"/>
    </xf>
    <xf numFmtId="164" fontId="52" fillId="35" borderId="44" xfId="116" applyFont="1" applyFill="1" applyBorder="1" applyAlignment="1">
      <alignment horizontal="right" vertical="center" wrapText="1"/>
    </xf>
    <xf numFmtId="10" fontId="11" fillId="4" borderId="62" xfId="3" applyNumberFormat="1" applyFont="1" applyFill="1" applyBorder="1" applyAlignment="1" applyProtection="1">
      <alignment horizontal="right" vertical="center"/>
    </xf>
    <xf numFmtId="10" fontId="11" fillId="4" borderId="32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65" xfId="3" applyNumberFormat="1" applyFont="1" applyFill="1" applyBorder="1" applyAlignment="1" applyProtection="1">
      <alignment horizontal="right" vertical="center"/>
    </xf>
    <xf numFmtId="0" fontId="6" fillId="0" borderId="39" xfId="5" applyFont="1" applyBorder="1" applyAlignment="1">
      <alignment horizontal="center" vertical="center" wrapText="1"/>
    </xf>
    <xf numFmtId="0" fontId="6" fillId="3" borderId="36" xfId="5" applyFont="1" applyFill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59" xfId="3" applyNumberFormat="1" applyFont="1" applyFill="1" applyBorder="1" applyAlignment="1" applyProtection="1">
      <alignment horizontal="right" vertical="center"/>
    </xf>
    <xf numFmtId="10" fontId="10" fillId="0" borderId="59" xfId="3" applyNumberFormat="1" applyFont="1" applyFill="1" applyBorder="1" applyAlignment="1" applyProtection="1">
      <alignment horizontal="right" vertical="center"/>
    </xf>
    <xf numFmtId="10" fontId="11" fillId="0" borderId="59" xfId="3" applyNumberFormat="1" applyFont="1" applyFill="1" applyBorder="1" applyAlignment="1" applyProtection="1">
      <alignment horizontal="right" vertical="center"/>
    </xf>
    <xf numFmtId="10" fontId="11" fillId="0" borderId="64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64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66" xfId="3" applyNumberFormat="1" applyFont="1" applyFill="1" applyBorder="1" applyAlignment="1">
      <alignment horizontal="right" vertical="center"/>
    </xf>
    <xf numFmtId="43" fontId="8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4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25" borderId="39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8" fillId="25" borderId="39" xfId="1" applyFont="1" applyFill="1" applyBorder="1" applyAlignment="1" applyProtection="1">
      <alignment horizontal="right" vertical="center" wrapText="1"/>
    </xf>
    <xf numFmtId="43" fontId="6" fillId="0" borderId="39" xfId="1" applyFont="1" applyFill="1" applyBorder="1" applyAlignment="1" applyProtection="1">
      <alignment horizontal="right" vertical="center" wrapText="1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6" borderId="34" xfId="5" applyFont="1" applyFill="1" applyBorder="1" applyAlignment="1">
      <alignment horizontal="center" vertical="center"/>
    </xf>
    <xf numFmtId="0" fontId="49" fillId="0" borderId="5" xfId="5" applyFont="1" applyBorder="1" applyAlignment="1">
      <alignment horizontal="center" vertical="center" wrapText="1"/>
    </xf>
    <xf numFmtId="0" fontId="50" fillId="0" borderId="5" xfId="5" applyFont="1" applyBorder="1" applyAlignment="1">
      <alignment horizontal="center" vertical="center" wrapText="1"/>
    </xf>
    <xf numFmtId="0" fontId="46" fillId="0" borderId="7" xfId="5" applyFont="1" applyBorder="1" applyAlignment="1">
      <alignment horizontal="center" vertical="center" wrapText="1"/>
    </xf>
    <xf numFmtId="0" fontId="54" fillId="0" borderId="7" xfId="5" applyFont="1" applyBorder="1" applyAlignment="1">
      <alignment horizontal="center" vertical="center" wrapText="1"/>
    </xf>
    <xf numFmtId="0" fontId="46" fillId="24" borderId="7" xfId="5" applyFont="1" applyFill="1" applyBorder="1" applyAlignment="1">
      <alignment horizontal="center" vertical="center" wrapText="1"/>
    </xf>
    <xf numFmtId="0" fontId="49" fillId="0" borderId="7" xfId="5" applyFont="1" applyBorder="1" applyAlignment="1">
      <alignment horizontal="center" vertical="center" wrapText="1"/>
    </xf>
    <xf numFmtId="0" fontId="56" fillId="0" borderId="7" xfId="5" applyFont="1" applyBorder="1" applyAlignment="1">
      <alignment horizontal="center" vertical="center" wrapText="1"/>
    </xf>
    <xf numFmtId="0" fontId="46" fillId="26" borderId="7" xfId="5" applyFont="1" applyFill="1" applyBorder="1" applyAlignment="1">
      <alignment horizontal="center" vertical="center" wrapText="1"/>
    </xf>
    <xf numFmtId="0" fontId="49" fillId="0" borderId="7" xfId="5" quotePrefix="1" applyFont="1" applyBorder="1" applyAlignment="1">
      <alignment horizontal="center" vertical="center" wrapText="1"/>
    </xf>
    <xf numFmtId="0" fontId="49" fillId="24" borderId="7" xfId="5" applyFont="1" applyFill="1" applyBorder="1" applyAlignment="1">
      <alignment horizontal="center" vertical="center" wrapText="1"/>
    </xf>
    <xf numFmtId="0" fontId="46" fillId="24" borderId="67" xfId="5" applyFont="1" applyFill="1" applyBorder="1" applyAlignment="1">
      <alignment horizontal="center" vertical="center" wrapText="1"/>
    </xf>
    <xf numFmtId="164" fontId="52" fillId="0" borderId="0" xfId="116" applyFont="1" applyFill="1" applyBorder="1" applyAlignment="1">
      <alignment horizontal="right" vertical="center" wrapText="1"/>
    </xf>
    <xf numFmtId="164" fontId="58" fillId="0" borderId="0" xfId="116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6" borderId="30" xfId="4" applyNumberFormat="1" applyFont="1" applyFill="1" applyBorder="1" applyAlignment="1">
      <alignment horizontal="center" vertical="center"/>
    </xf>
    <xf numFmtId="43" fontId="0" fillId="0" borderId="0" xfId="1" applyFont="1"/>
    <xf numFmtId="0" fontId="6" fillId="3" borderId="47" xfId="5" applyFont="1" applyFill="1" applyBorder="1" applyAlignment="1">
      <alignment horizontal="left" vertical="center" wrapText="1"/>
    </xf>
    <xf numFmtId="1" fontId="11" fillId="36" borderId="31" xfId="4" applyNumberFormat="1" applyFont="1" applyFill="1" applyBorder="1" applyAlignment="1">
      <alignment horizontal="center" vertical="center"/>
    </xf>
    <xf numFmtId="1" fontId="11" fillId="36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>
      <alignment horizontal="center" vertical="center" wrapText="1"/>
    </xf>
    <xf numFmtId="0" fontId="11" fillId="3" borderId="37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1" fillId="0" borderId="43" xfId="5" applyFont="1" applyBorder="1" applyAlignment="1">
      <alignment horizontal="center" vertical="center"/>
    </xf>
    <xf numFmtId="0" fontId="62" fillId="0" borderId="0" xfId="0" applyFont="1"/>
    <xf numFmtId="164" fontId="49" fillId="24" borderId="34" xfId="116" applyFont="1" applyFill="1" applyBorder="1" applyAlignment="1" applyProtection="1">
      <alignment horizontal="center" vertical="center" wrapText="1"/>
    </xf>
    <xf numFmtId="164" fontId="49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6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6" fillId="37" borderId="77" xfId="80" applyNumberFormat="1" applyFont="1" applyFill="1" applyBorder="1" applyAlignment="1">
      <alignment horizontal="center" vertical="center" wrapText="1"/>
    </xf>
    <xf numFmtId="49" fontId="61" fillId="0" borderId="80" xfId="80" applyNumberFormat="1" applyFont="1" applyBorder="1" applyAlignment="1">
      <alignment vertical="center" wrapText="1"/>
    </xf>
    <xf numFmtId="0" fontId="61" fillId="0" borderId="73" xfId="80" applyFont="1" applyBorder="1" applyAlignment="1">
      <alignment horizontal="left" vertical="center" wrapText="1"/>
    </xf>
    <xf numFmtId="49" fontId="61" fillId="0" borderId="73" xfId="80" applyNumberFormat="1" applyFont="1" applyBorder="1" applyAlignment="1">
      <alignment horizontal="left" vertical="center" wrapText="1"/>
    </xf>
    <xf numFmtId="49" fontId="61" fillId="0" borderId="73" xfId="80" applyNumberFormat="1" applyFont="1" applyBorder="1" applyAlignment="1">
      <alignment vertical="center" wrapText="1"/>
    </xf>
    <xf numFmtId="49" fontId="61" fillId="24" borderId="73" xfId="80" applyNumberFormat="1" applyFont="1" applyFill="1" applyBorder="1" applyAlignment="1">
      <alignment vertical="center" wrapText="1"/>
    </xf>
    <xf numFmtId="49" fontId="61" fillId="24" borderId="81" xfId="80" applyNumberFormat="1" applyFont="1" applyFill="1" applyBorder="1" applyAlignment="1">
      <alignment horizontal="left" vertical="center" wrapText="1"/>
    </xf>
    <xf numFmtId="49" fontId="67" fillId="4" borderId="83" xfId="80" applyNumberFormat="1" applyFont="1" applyFill="1" applyBorder="1" applyAlignment="1">
      <alignment horizontal="left" vertical="center" wrapText="1"/>
    </xf>
    <xf numFmtId="49" fontId="60" fillId="24" borderId="85" xfId="80" applyNumberFormat="1" applyFont="1" applyFill="1" applyBorder="1" applyAlignment="1">
      <alignment horizontal="left" vertical="center" wrapText="1"/>
    </xf>
    <xf numFmtId="49" fontId="60" fillId="24" borderId="86" xfId="80" applyNumberFormat="1" applyFont="1" applyFill="1" applyBorder="1" applyAlignment="1">
      <alignment horizontal="left" vertical="center" wrapText="1"/>
    </xf>
    <xf numFmtId="49" fontId="60" fillId="24" borderId="87" xfId="80" applyNumberFormat="1" applyFont="1" applyFill="1" applyBorder="1" applyAlignment="1">
      <alignment horizontal="left" vertical="center" wrapText="1"/>
    </xf>
    <xf numFmtId="49" fontId="60" fillId="24" borderId="70" xfId="80" applyNumberFormat="1" applyFont="1" applyFill="1" applyBorder="1" applyAlignment="1">
      <alignment horizontal="left" vertical="center" wrapText="1"/>
    </xf>
    <xf numFmtId="0" fontId="61" fillId="0" borderId="80" xfId="80" applyFont="1" applyBorder="1" applyAlignment="1">
      <alignment vertical="center"/>
    </xf>
    <xf numFmtId="0" fontId="7" fillId="0" borderId="73" xfId="80" applyBorder="1" applyAlignment="1">
      <alignment vertical="center"/>
    </xf>
    <xf numFmtId="0" fontId="62" fillId="0" borderId="74" xfId="80" quotePrefix="1" applyFont="1" applyBorder="1" applyAlignment="1">
      <alignment horizontal="center" vertical="center"/>
    </xf>
    <xf numFmtId="0" fontId="7" fillId="24" borderId="73" xfId="80" applyFill="1" applyBorder="1" applyAlignment="1">
      <alignment vertical="center"/>
    </xf>
    <xf numFmtId="0" fontId="61" fillId="0" borderId="73" xfId="80" applyFont="1" applyBorder="1" applyAlignment="1">
      <alignment vertical="center"/>
    </xf>
    <xf numFmtId="49" fontId="62" fillId="0" borderId="73" xfId="80" applyNumberFormat="1" applyFont="1" applyBorder="1" applyAlignment="1">
      <alignment horizontal="left" vertical="center"/>
    </xf>
    <xf numFmtId="0" fontId="62" fillId="0" borderId="74" xfId="80" applyFont="1" applyBorder="1" applyAlignment="1">
      <alignment horizontal="center" vertical="center"/>
    </xf>
    <xf numFmtId="49" fontId="61" fillId="0" borderId="73" xfId="80" applyNumberFormat="1" applyFont="1" applyBorder="1" applyAlignment="1">
      <alignment vertical="center"/>
    </xf>
    <xf numFmtId="0" fontId="62" fillId="0" borderId="73" xfId="80" applyFont="1" applyBorder="1" applyAlignment="1">
      <alignment horizontal="left" vertical="center"/>
    </xf>
    <xf numFmtId="0" fontId="62" fillId="24" borderId="73" xfId="80" applyFont="1" applyFill="1" applyBorder="1" applyAlignment="1">
      <alignment horizontal="left" vertical="center"/>
    </xf>
    <xf numFmtId="0" fontId="61" fillId="0" borderId="73" xfId="80" applyFont="1" applyBorder="1" applyAlignment="1">
      <alignment horizontal="left" vertical="center"/>
    </xf>
    <xf numFmtId="49" fontId="61" fillId="0" borderId="73" xfId="80" applyNumberFormat="1" applyFont="1" applyBorder="1" applyAlignment="1">
      <alignment horizontal="left" vertical="center"/>
    </xf>
    <xf numFmtId="49" fontId="61" fillId="24" borderId="73" xfId="80" applyNumberFormat="1" applyFont="1" applyFill="1" applyBorder="1" applyAlignment="1">
      <alignment vertical="center"/>
    </xf>
    <xf numFmtId="49" fontId="61" fillId="24" borderId="81" xfId="80" applyNumberFormat="1" applyFont="1" applyFill="1" applyBorder="1" applyAlignment="1">
      <alignment vertical="center"/>
    </xf>
    <xf numFmtId="0" fontId="67" fillId="4" borderId="83" xfId="80" applyFont="1" applyFill="1" applyBorder="1" applyAlignment="1">
      <alignment horizontal="left" vertical="center" wrapText="1"/>
    </xf>
    <xf numFmtId="0" fontId="67" fillId="38" borderId="88" xfId="80" applyFont="1" applyFill="1" applyBorder="1" applyAlignment="1">
      <alignment horizontal="left" vertical="center" wrapText="1"/>
    </xf>
    <xf numFmtId="0" fontId="7" fillId="38" borderId="89" xfId="80" applyFill="1" applyBorder="1" applyAlignment="1">
      <alignment vertical="center"/>
    </xf>
    <xf numFmtId="49" fontId="7" fillId="0" borderId="90" xfId="5" applyNumberFormat="1" applyBorder="1" applyAlignment="1">
      <alignment horizontal="center" vertical="center" wrapText="1"/>
    </xf>
    <xf numFmtId="49" fontId="7" fillId="0" borderId="91" xfId="5" applyNumberFormat="1" applyBorder="1" applyAlignment="1">
      <alignment horizontal="center" vertical="center" wrapText="1"/>
    </xf>
    <xf numFmtId="43" fontId="7" fillId="24" borderId="91" xfId="126" applyFont="1" applyFill="1" applyBorder="1" applyAlignment="1" applyProtection="1">
      <alignment horizontal="center" vertical="center" wrapText="1"/>
    </xf>
    <xf numFmtId="49" fontId="7" fillId="24" borderId="91" xfId="5" applyNumberFormat="1" applyFill="1" applyBorder="1" applyAlignment="1">
      <alignment horizontal="center" vertical="center" wrapText="1"/>
    </xf>
    <xf numFmtId="49" fontId="7" fillId="24" borderId="92" xfId="5" applyNumberFormat="1" applyFill="1" applyBorder="1" applyAlignment="1">
      <alignment horizontal="center" vertical="center" wrapText="1"/>
    </xf>
    <xf numFmtId="49" fontId="61" fillId="4" borderId="93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0" xfId="80" applyFill="1" applyBorder="1" applyAlignment="1">
      <alignment horizontal="center" vertical="center"/>
    </xf>
    <xf numFmtId="49" fontId="7" fillId="0" borderId="91" xfId="80" applyNumberFormat="1" applyBorder="1" applyAlignment="1">
      <alignment horizontal="center" vertical="center" wrapText="1"/>
    </xf>
    <xf numFmtId="49" fontId="7" fillId="0" borderId="91" xfId="80" applyNumberFormat="1" applyBorder="1" applyAlignment="1">
      <alignment horizontal="center" vertical="center"/>
    </xf>
    <xf numFmtId="49" fontId="7" fillId="24" borderId="91" xfId="80" applyNumberFormat="1" applyFill="1" applyBorder="1" applyAlignment="1">
      <alignment horizontal="center" vertical="center"/>
    </xf>
    <xf numFmtId="3" fontId="7" fillId="0" borderId="91" xfId="80" applyNumberFormat="1" applyBorder="1" applyAlignment="1">
      <alignment horizontal="center" vertical="center" wrapText="1"/>
    </xf>
    <xf numFmtId="0" fontId="7" fillId="0" borderId="91" xfId="80" applyBorder="1" applyAlignment="1">
      <alignment horizontal="center" vertical="center"/>
    </xf>
    <xf numFmtId="0" fontId="7" fillId="24" borderId="91" xfId="80" applyFill="1" applyBorder="1" applyAlignment="1">
      <alignment horizontal="center" vertical="center" wrapText="1"/>
    </xf>
    <xf numFmtId="0" fontId="7" fillId="0" borderId="91" xfId="80" quotePrefix="1" applyBorder="1" applyAlignment="1">
      <alignment horizontal="center" vertical="center"/>
    </xf>
    <xf numFmtId="0" fontId="7" fillId="0" borderId="91" xfId="80" quotePrefix="1" applyBorder="1" applyAlignment="1">
      <alignment horizontal="center" vertical="center" wrapText="1"/>
    </xf>
    <xf numFmtId="0" fontId="7" fillId="24" borderId="92" xfId="80" quotePrefix="1" applyFill="1" applyBorder="1" applyAlignment="1">
      <alignment horizontal="center" vertical="center" wrapText="1"/>
    </xf>
    <xf numFmtId="49" fontId="60" fillId="4" borderId="93" xfId="80" applyNumberFormat="1" applyFont="1" applyFill="1" applyBorder="1" applyAlignment="1">
      <alignment horizontal="left" vertical="center" wrapText="1"/>
    </xf>
    <xf numFmtId="0" fontId="68" fillId="37" borderId="71" xfId="80" applyFont="1" applyFill="1" applyBorder="1" applyAlignment="1">
      <alignment horizontal="center" vertical="center"/>
    </xf>
    <xf numFmtId="0" fontId="68" fillId="37" borderId="74" xfId="80" applyFont="1" applyFill="1" applyBorder="1" applyAlignment="1">
      <alignment horizontal="center" vertical="center"/>
    </xf>
    <xf numFmtId="0" fontId="68" fillId="37" borderId="78" xfId="80" applyFont="1" applyFill="1" applyBorder="1" applyAlignment="1">
      <alignment horizontal="center" vertical="center"/>
    </xf>
    <xf numFmtId="2" fontId="68" fillId="0" borderId="76" xfId="5" applyNumberFormat="1" applyFont="1" applyBorder="1" applyAlignment="1">
      <alignment horizontal="center" vertical="center" wrapText="1"/>
    </xf>
    <xf numFmtId="1" fontId="68" fillId="0" borderId="74" xfId="5" applyNumberFormat="1" applyFont="1" applyBorder="1" applyAlignment="1">
      <alignment horizontal="center" vertical="center" wrapText="1"/>
    </xf>
    <xf numFmtId="1" fontId="68" fillId="0" borderId="82" xfId="5" applyNumberFormat="1" applyFont="1" applyBorder="1" applyAlignment="1">
      <alignment horizontal="center" vertical="center" wrapText="1"/>
    </xf>
    <xf numFmtId="49" fontId="69" fillId="4" borderId="84" xfId="80" applyNumberFormat="1" applyFont="1" applyFill="1" applyBorder="1" applyAlignment="1">
      <alignment horizontal="center" vertical="center" wrapText="1"/>
    </xf>
    <xf numFmtId="49" fontId="68" fillId="24" borderId="86" xfId="80" applyNumberFormat="1" applyFont="1" applyFill="1" applyBorder="1" applyAlignment="1">
      <alignment horizontal="left" vertical="center" wrapText="1"/>
    </xf>
    <xf numFmtId="49" fontId="68" fillId="24" borderId="70" xfId="80" applyNumberFormat="1" applyFont="1" applyFill="1" applyBorder="1" applyAlignment="1">
      <alignment horizontal="left" vertical="center" wrapText="1"/>
    </xf>
    <xf numFmtId="49" fontId="68" fillId="37" borderId="78" xfId="80" applyNumberFormat="1" applyFont="1" applyFill="1" applyBorder="1" applyAlignment="1">
      <alignment horizontal="center" vertical="center" wrapText="1"/>
    </xf>
    <xf numFmtId="49" fontId="68" fillId="0" borderId="76" xfId="80" applyNumberFormat="1" applyFont="1" applyBorder="1" applyAlignment="1">
      <alignment horizontal="center" vertical="center" wrapText="1"/>
    </xf>
    <xf numFmtId="0" fontId="68" fillId="0" borderId="74" xfId="80" quotePrefix="1" applyFont="1" applyBorder="1" applyAlignment="1">
      <alignment horizontal="center" vertical="center"/>
    </xf>
    <xf numFmtId="0" fontId="68" fillId="0" borderId="74" xfId="80" quotePrefix="1" applyFont="1" applyBorder="1" applyAlignment="1">
      <alignment horizontal="center" vertical="center" wrapText="1"/>
    </xf>
    <xf numFmtId="0" fontId="68" fillId="0" borderId="82" xfId="80" quotePrefix="1" applyFont="1" applyBorder="1" applyAlignment="1">
      <alignment horizontal="center" vertical="center"/>
    </xf>
    <xf numFmtId="0" fontId="68" fillId="4" borderId="84" xfId="80" applyFont="1" applyFill="1" applyBorder="1" applyAlignment="1">
      <alignment horizontal="center" vertical="center" wrapText="1"/>
    </xf>
    <xf numFmtId="0" fontId="68" fillId="0" borderId="0" xfId="80" applyFont="1" applyAlignment="1">
      <alignment vertical="center"/>
    </xf>
    <xf numFmtId="0" fontId="68" fillId="38" borderId="89" xfId="80" applyFont="1" applyFill="1" applyBorder="1" applyAlignment="1">
      <alignment horizontal="center" vertical="center" wrapText="1"/>
    </xf>
    <xf numFmtId="0" fontId="49" fillId="0" borderId="30" xfId="5" applyFont="1" applyBorder="1" applyAlignment="1">
      <alignment horizontal="center" vertical="center" wrapText="1"/>
    </xf>
    <xf numFmtId="10" fontId="11" fillId="0" borderId="59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6" borderId="35" xfId="5" applyFont="1" applyFill="1" applyBorder="1" applyAlignment="1">
      <alignment horizontal="center" vertical="center" wrapText="1"/>
    </xf>
    <xf numFmtId="0" fontId="11" fillId="0" borderId="59" xfId="3" applyNumberFormat="1" applyFont="1" applyFill="1" applyBorder="1" applyAlignment="1">
      <alignment horizontal="right" vertical="center"/>
    </xf>
    <xf numFmtId="0" fontId="6" fillId="36" borderId="33" xfId="5" applyFont="1" applyFill="1" applyBorder="1" applyAlignment="1">
      <alignment horizontal="center" vertical="center" wrapText="1"/>
    </xf>
    <xf numFmtId="1" fontId="6" fillId="36" borderId="30" xfId="4" applyNumberFormat="1" applyFont="1" applyFill="1" applyBorder="1" applyAlignment="1">
      <alignment horizontal="center" vertical="center"/>
    </xf>
    <xf numFmtId="1" fontId="6" fillId="36" borderId="31" xfId="4" applyNumberFormat="1" applyFont="1" applyFill="1" applyBorder="1" applyAlignment="1">
      <alignment horizontal="center" vertical="center"/>
    </xf>
    <xf numFmtId="1" fontId="6" fillId="36" borderId="32" xfId="4" applyNumberFormat="1" applyFont="1" applyFill="1" applyBorder="1" applyAlignment="1">
      <alignment horizontal="center" vertical="center"/>
    </xf>
    <xf numFmtId="0" fontId="6" fillId="36" borderId="34" xfId="5" applyFont="1" applyFill="1" applyBorder="1" applyAlignment="1">
      <alignment horizontal="center" vertical="center"/>
    </xf>
    <xf numFmtId="0" fontId="8" fillId="0" borderId="37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39" fontId="8" fillId="0" borderId="3" xfId="5" applyNumberFormat="1" applyFont="1" applyBorder="1" applyAlignment="1">
      <alignment horizontal="center" vertical="center" wrapText="1"/>
    </xf>
    <xf numFmtId="43" fontId="8" fillId="25" borderId="3" xfId="1" applyFont="1" applyFill="1" applyBorder="1" applyAlignment="1" applyProtection="1">
      <alignment horizontal="right" vertical="center" wrapText="1"/>
    </xf>
    <xf numFmtId="39" fontId="8" fillId="0" borderId="37" xfId="5" applyNumberFormat="1" applyFont="1" applyBorder="1" applyAlignment="1">
      <alignment horizontal="center" vertical="center" wrapText="1"/>
    </xf>
    <xf numFmtId="43" fontId="8" fillId="25" borderId="37" xfId="1" applyFont="1" applyFill="1" applyBorder="1" applyAlignment="1" applyProtection="1">
      <alignment horizontal="right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0" fontId="8" fillId="0" borderId="3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3" borderId="37" xfId="5" applyFont="1" applyFill="1" applyBorder="1" applyAlignment="1">
      <alignment horizontal="left" vertical="center" wrapText="1"/>
    </xf>
    <xf numFmtId="0" fontId="8" fillId="0" borderId="3" xfId="5" quotePrefix="1" applyFont="1" applyBorder="1" applyAlignment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0" fontId="6" fillId="0" borderId="3" xfId="6" applyFont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0" fontId="6" fillId="0" borderId="37" xfId="5" applyFont="1" applyBorder="1" applyAlignment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0" fontId="6" fillId="0" borderId="3" xfId="5" applyFont="1" applyBorder="1" applyAlignment="1">
      <alignment horizontal="left" vertical="center"/>
    </xf>
    <xf numFmtId="0" fontId="8" fillId="0" borderId="3" xfId="5" applyFont="1" applyBorder="1" applyAlignment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0" fontId="8" fillId="0" borderId="3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0" fontId="17" fillId="0" borderId="37" xfId="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3" fillId="0" borderId="0" xfId="0" applyFont="1"/>
    <xf numFmtId="0" fontId="48" fillId="24" borderId="0" xfId="4" applyFont="1" applyFill="1" applyAlignment="1">
      <alignment horizontal="center" vertical="center"/>
    </xf>
    <xf numFmtId="0" fontId="48" fillId="0" borderId="0" xfId="4" applyFont="1" applyAlignment="1">
      <alignment vertical="center"/>
    </xf>
    <xf numFmtId="0" fontId="11" fillId="3" borderId="47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1" fillId="0" borderId="47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0" fontId="70" fillId="0" borderId="39" xfId="5" applyFont="1" applyBorder="1" applyAlignment="1">
      <alignment horizontal="center" vertical="center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43" fontId="15" fillId="0" borderId="14" xfId="1" applyFont="1" applyFill="1" applyBorder="1" applyAlignment="1" applyProtection="1">
      <alignment horizontal="right" vertical="center"/>
    </xf>
    <xf numFmtId="175" fontId="6" fillId="0" borderId="0" xfId="1" applyNumberFormat="1" applyFont="1" applyAlignment="1">
      <alignment vertical="center"/>
    </xf>
    <xf numFmtId="175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75" fontId="9" fillId="0" borderId="2" xfId="1" applyNumberFormat="1" applyFont="1" applyFill="1" applyBorder="1" applyAlignment="1" applyProtection="1">
      <alignment vertical="center"/>
    </xf>
    <xf numFmtId="164" fontId="49" fillId="0" borderId="34" xfId="116" applyFont="1" applyFill="1" applyBorder="1" applyAlignment="1" applyProtection="1">
      <alignment horizontal="center" vertical="center" wrapText="1"/>
    </xf>
    <xf numFmtId="164" fontId="44" fillId="23" borderId="0" xfId="116" applyFont="1" applyFill="1" applyBorder="1" applyAlignment="1">
      <alignment horizontal="center" vertical="center"/>
    </xf>
    <xf numFmtId="0" fontId="43" fillId="23" borderId="0" xfId="4" applyFont="1" applyFill="1" applyAlignment="1">
      <alignment vertical="center" wrapText="1"/>
    </xf>
    <xf numFmtId="0" fontId="71" fillId="23" borderId="0" xfId="4" applyFont="1" applyFill="1" applyAlignment="1">
      <alignment horizontal="center" vertical="center" wrapText="1"/>
    </xf>
    <xf numFmtId="0" fontId="45" fillId="24" borderId="0" xfId="4" applyFont="1" applyFill="1" applyAlignment="1">
      <alignment vertical="center" wrapText="1"/>
    </xf>
    <xf numFmtId="164" fontId="44" fillId="23" borderId="27" xfId="116" applyFont="1" applyFill="1" applyBorder="1" applyAlignment="1">
      <alignment horizontal="left" vertical="center"/>
    </xf>
    <xf numFmtId="1" fontId="6" fillId="25" borderId="20" xfId="5" applyNumberFormat="1" applyFont="1" applyFill="1" applyBorder="1" applyAlignment="1" applyProtection="1">
      <alignment horizontal="right" vertical="center"/>
      <protection locked="0"/>
    </xf>
    <xf numFmtId="1" fontId="6" fillId="25" borderId="21" xfId="5" applyNumberFormat="1" applyFont="1" applyFill="1" applyBorder="1" applyAlignment="1" applyProtection="1">
      <alignment horizontal="right" vertical="center"/>
      <protection locked="0"/>
    </xf>
    <xf numFmtId="1" fontId="6" fillId="25" borderId="21" xfId="5" applyNumberFormat="1" applyFont="1" applyFill="1" applyBorder="1" applyAlignment="1" applyProtection="1">
      <alignment horizontal="right" vertical="top"/>
      <protection locked="0"/>
    </xf>
    <xf numFmtId="1" fontId="6" fillId="25" borderId="22" xfId="5" applyNumberFormat="1" applyFont="1" applyFill="1" applyBorder="1" applyAlignment="1" applyProtection="1">
      <alignment horizontal="right" vertical="top"/>
      <protection locked="0"/>
    </xf>
    <xf numFmtId="0" fontId="6" fillId="25" borderId="21" xfId="5" applyFont="1" applyFill="1" applyBorder="1" applyAlignment="1">
      <alignment horizontal="left" vertical="center" wrapText="1"/>
    </xf>
    <xf numFmtId="0" fontId="6" fillId="25" borderId="34" xfId="5" applyFont="1" applyFill="1" applyBorder="1" applyAlignment="1">
      <alignment horizontal="center" wrapText="1"/>
    </xf>
    <xf numFmtId="43" fontId="6" fillId="25" borderId="34" xfId="1" applyFont="1" applyFill="1" applyBorder="1" applyAlignment="1" applyProtection="1">
      <alignment horizontal="center" vertical="center"/>
    </xf>
    <xf numFmtId="0" fontId="6" fillId="0" borderId="0" xfId="4" applyFont="1" applyAlignment="1">
      <alignment vertical="center"/>
    </xf>
    <xf numFmtId="1" fontId="8" fillId="0" borderId="36" xfId="5" applyNumberFormat="1" applyFont="1" applyBorder="1" applyAlignment="1" applyProtection="1">
      <alignment horizontal="right" vertical="center"/>
      <protection locked="0"/>
    </xf>
    <xf numFmtId="1" fontId="6" fillId="0" borderId="37" xfId="5" applyNumberFormat="1" applyFont="1" applyBorder="1" applyAlignment="1" applyProtection="1">
      <alignment horizontal="right" vertical="center"/>
      <protection locked="0"/>
    </xf>
    <xf numFmtId="1" fontId="8" fillId="0" borderId="37" xfId="5" applyNumberFormat="1" applyFont="1" applyBorder="1" applyAlignment="1" applyProtection="1">
      <alignment horizontal="right" vertical="center"/>
      <protection locked="0"/>
    </xf>
    <xf numFmtId="1" fontId="8" fillId="0" borderId="45" xfId="5" applyNumberFormat="1" applyFont="1" applyBorder="1" applyAlignment="1" applyProtection="1">
      <alignment horizontal="right" vertical="center"/>
      <protection locked="0"/>
    </xf>
    <xf numFmtId="0" fontId="6" fillId="0" borderId="38" xfId="77" applyFont="1" applyBorder="1" applyAlignment="1">
      <alignment vertical="center" wrapText="1"/>
    </xf>
    <xf numFmtId="0" fontId="8" fillId="0" borderId="38" xfId="77" applyFont="1" applyBorder="1" applyAlignment="1">
      <alignment horizontal="center" wrapText="1"/>
    </xf>
    <xf numFmtId="177" fontId="8" fillId="0" borderId="38" xfId="1" applyNumberFormat="1" applyFont="1" applyFill="1" applyBorder="1" applyAlignment="1" applyProtection="1">
      <alignment horizontal="right" vertical="center"/>
    </xf>
    <xf numFmtId="1" fontId="8" fillId="0" borderId="3" xfId="5" applyNumberFormat="1" applyFont="1" applyBorder="1" applyAlignment="1" applyProtection="1">
      <alignment horizontal="right" vertical="center"/>
      <protection locked="0"/>
    </xf>
    <xf numFmtId="1" fontId="8" fillId="0" borderId="2" xfId="5" applyNumberFormat="1" applyFont="1" applyBorder="1" applyAlignment="1" applyProtection="1">
      <alignment horizontal="right" vertical="center"/>
      <protection locked="0"/>
    </xf>
    <xf numFmtId="0" fontId="8" fillId="0" borderId="39" xfId="77" applyFont="1" applyBorder="1" applyAlignment="1">
      <alignment vertical="center" wrapText="1"/>
    </xf>
    <xf numFmtId="0" fontId="8" fillId="0" borderId="39" xfId="77" applyFont="1" applyBorder="1" applyAlignment="1">
      <alignment horizontal="center" wrapText="1"/>
    </xf>
    <xf numFmtId="43" fontId="8" fillId="25" borderId="39" xfId="1" applyFont="1" applyFill="1" applyBorder="1" applyAlignment="1" applyProtection="1">
      <alignment horizontal="center" vertical="center"/>
    </xf>
    <xf numFmtId="1" fontId="6" fillId="0" borderId="3" xfId="5" applyNumberFormat="1" applyFont="1" applyBorder="1" applyAlignment="1" applyProtection="1">
      <alignment horizontal="right" vertical="center"/>
      <protection locked="0"/>
    </xf>
    <xf numFmtId="0" fontId="6" fillId="0" borderId="39" xfId="77" applyFont="1" applyBorder="1" applyAlignment="1">
      <alignment vertical="center" wrapText="1"/>
    </xf>
    <xf numFmtId="43" fontId="8" fillId="0" borderId="39" xfId="1" applyFont="1" applyFill="1" applyBorder="1" applyAlignment="1" applyProtection="1">
      <alignment horizontal="center" vertical="center"/>
    </xf>
    <xf numFmtId="1" fontId="6" fillId="0" borderId="2" xfId="5" applyNumberFormat="1" applyFont="1" applyBorder="1" applyAlignment="1" applyProtection="1">
      <alignment horizontal="right" vertical="center"/>
      <protection locked="0"/>
    </xf>
    <xf numFmtId="0" fontId="6" fillId="0" borderId="39" xfId="5" applyFont="1" applyBorder="1" applyAlignment="1">
      <alignment horizontal="left" vertical="center" wrapText="1"/>
    </xf>
    <xf numFmtId="1" fontId="8" fillId="0" borderId="98" xfId="5" applyNumberFormat="1" applyFont="1" applyBorder="1" applyAlignment="1" applyProtection="1">
      <alignment horizontal="right" vertical="center"/>
      <protection locked="0"/>
    </xf>
    <xf numFmtId="1" fontId="6" fillId="0" borderId="11" xfId="5" applyNumberFormat="1" applyFont="1" applyBorder="1" applyAlignment="1" applyProtection="1">
      <alignment horizontal="right" vertical="center"/>
      <protection locked="0"/>
    </xf>
    <xf numFmtId="1" fontId="6" fillId="0" borderId="9" xfId="5" applyNumberFormat="1" applyFont="1" applyBorder="1" applyAlignment="1" applyProtection="1">
      <alignment horizontal="right" vertical="center"/>
      <protection locked="0"/>
    </xf>
    <xf numFmtId="0" fontId="6" fillId="0" borderId="99" xfId="77" applyFont="1" applyBorder="1" applyAlignment="1">
      <alignment vertical="center" wrapText="1"/>
    </xf>
    <xf numFmtId="0" fontId="8" fillId="0" borderId="99" xfId="77" applyFont="1" applyBorder="1" applyAlignment="1">
      <alignment horizontal="center" wrapText="1"/>
    </xf>
    <xf numFmtId="1" fontId="6" fillId="25" borderId="6" xfId="5" applyNumberFormat="1" applyFont="1" applyFill="1" applyBorder="1" applyAlignment="1" applyProtection="1">
      <alignment horizontal="right" vertical="center"/>
      <protection locked="0"/>
    </xf>
    <xf numFmtId="1" fontId="6" fillId="25" borderId="3" xfId="5" applyNumberFormat="1" applyFont="1" applyFill="1" applyBorder="1" applyAlignment="1" applyProtection="1">
      <alignment horizontal="right" vertical="center"/>
      <protection locked="0"/>
    </xf>
    <xf numFmtId="1" fontId="6" fillId="25" borderId="2" xfId="5" applyNumberFormat="1" applyFont="1" applyFill="1" applyBorder="1" applyAlignment="1" applyProtection="1">
      <alignment horizontal="right" vertical="center"/>
      <protection locked="0"/>
    </xf>
    <xf numFmtId="0" fontId="6" fillId="25" borderId="39" xfId="5" applyFont="1" applyFill="1" applyBorder="1" applyAlignment="1">
      <alignment horizontal="left" vertical="center" wrapText="1"/>
    </xf>
    <xf numFmtId="0" fontId="6" fillId="25" borderId="39" xfId="5" applyFont="1" applyFill="1" applyBorder="1" applyAlignment="1">
      <alignment horizontal="center" wrapText="1"/>
    </xf>
    <xf numFmtId="43" fontId="6" fillId="25" borderId="39" xfId="1" applyFont="1" applyFill="1" applyBorder="1" applyAlignment="1" applyProtection="1">
      <alignment horizontal="center" vertical="center"/>
    </xf>
    <xf numFmtId="0" fontId="8" fillId="0" borderId="39" xfId="5" applyFont="1" applyBorder="1" applyAlignment="1">
      <alignment horizontal="left" vertical="center" wrapText="1"/>
    </xf>
    <xf numFmtId="0" fontId="17" fillId="0" borderId="39" xfId="5" applyFont="1" applyBorder="1" applyAlignment="1">
      <alignment horizontal="center"/>
    </xf>
    <xf numFmtId="43" fontId="17" fillId="25" borderId="39" xfId="1" applyFont="1" applyFill="1" applyBorder="1" applyAlignment="1" applyProtection="1">
      <alignment horizontal="center" vertical="center"/>
    </xf>
    <xf numFmtId="43" fontId="8" fillId="25" borderId="38" xfId="1" applyFont="1" applyFill="1" applyBorder="1" applyAlignment="1" applyProtection="1">
      <alignment horizontal="center" vertical="center"/>
    </xf>
    <xf numFmtId="0" fontId="70" fillId="0" borderId="0" xfId="4" applyFont="1" applyAlignment="1">
      <alignment vertical="center"/>
    </xf>
    <xf numFmtId="1" fontId="6" fillId="0" borderId="45" xfId="5" applyNumberFormat="1" applyFont="1" applyBorder="1" applyAlignment="1" applyProtection="1">
      <alignment horizontal="right" vertical="center"/>
      <protection locked="0"/>
    </xf>
    <xf numFmtId="1" fontId="6" fillId="25" borderId="36" xfId="5" applyNumberFormat="1" applyFont="1" applyFill="1" applyBorder="1" applyAlignment="1" applyProtection="1">
      <alignment horizontal="right" vertical="center"/>
      <protection locked="0"/>
    </xf>
    <xf numFmtId="1" fontId="6" fillId="25" borderId="37" xfId="5" applyNumberFormat="1" applyFont="1" applyFill="1" applyBorder="1" applyAlignment="1" applyProtection="1">
      <alignment horizontal="right" vertical="center"/>
      <protection locked="0"/>
    </xf>
    <xf numFmtId="1" fontId="6" fillId="25" borderId="45" xfId="5" applyNumberFormat="1" applyFont="1" applyFill="1" applyBorder="1" applyAlignment="1" applyProtection="1">
      <alignment horizontal="right" vertical="center"/>
      <protection locked="0"/>
    </xf>
    <xf numFmtId="0" fontId="6" fillId="25" borderId="38" xfId="5" applyFont="1" applyFill="1" applyBorder="1" applyAlignment="1">
      <alignment horizontal="left" vertical="center" wrapText="1"/>
    </xf>
    <xf numFmtId="1" fontId="8" fillId="0" borderId="11" xfId="5" applyNumberFormat="1" applyFont="1" applyBorder="1" applyAlignment="1" applyProtection="1">
      <alignment horizontal="right" vertical="center"/>
      <protection locked="0"/>
    </xf>
    <xf numFmtId="1" fontId="8" fillId="0" borderId="9" xfId="5" applyNumberFormat="1" applyFont="1" applyBorder="1" applyAlignment="1" applyProtection="1">
      <alignment horizontal="right" vertical="center"/>
      <protection locked="0"/>
    </xf>
    <xf numFmtId="1" fontId="8" fillId="24" borderId="36" xfId="5" applyNumberFormat="1" applyFont="1" applyFill="1" applyBorder="1" applyAlignment="1" applyProtection="1">
      <alignment horizontal="right" vertical="center"/>
      <protection locked="0"/>
    </xf>
    <xf numFmtId="1" fontId="8" fillId="24" borderId="3" xfId="5" applyNumberFormat="1" applyFont="1" applyFill="1" applyBorder="1" applyAlignment="1" applyProtection="1">
      <alignment horizontal="right" vertical="center"/>
      <protection locked="0"/>
    </xf>
    <xf numFmtId="1" fontId="6" fillId="24" borderId="3" xfId="5" applyNumberFormat="1" applyFont="1" applyFill="1" applyBorder="1" applyAlignment="1" applyProtection="1">
      <alignment horizontal="right" vertical="center"/>
      <protection locked="0"/>
    </xf>
    <xf numFmtId="1" fontId="6" fillId="24" borderId="11" xfId="5" applyNumberFormat="1" applyFont="1" applyFill="1" applyBorder="1" applyAlignment="1" applyProtection="1">
      <alignment horizontal="right" vertical="center"/>
      <protection locked="0"/>
    </xf>
    <xf numFmtId="1" fontId="6" fillId="24" borderId="9" xfId="5" applyNumberFormat="1" applyFont="1" applyFill="1" applyBorder="1" applyAlignment="1" applyProtection="1">
      <alignment horizontal="right" vertical="center"/>
      <protection locked="0"/>
    </xf>
    <xf numFmtId="0" fontId="6" fillId="24" borderId="39" xfId="5" applyFont="1" applyFill="1" applyBorder="1" applyAlignment="1">
      <alignment horizontal="left" vertical="center" wrapText="1"/>
    </xf>
    <xf numFmtId="0" fontId="8" fillId="0" borderId="99" xfId="77" applyFont="1" applyBorder="1" applyAlignment="1">
      <alignment vertical="center" wrapText="1"/>
    </xf>
    <xf numFmtId="0" fontId="8" fillId="0" borderId="38" xfId="5" applyFont="1" applyBorder="1" applyAlignment="1">
      <alignment horizontal="left" vertical="center" wrapText="1"/>
    </xf>
    <xf numFmtId="1" fontId="8" fillId="0" borderId="6" xfId="5" applyNumberFormat="1" applyFont="1" applyBorder="1" applyAlignment="1" applyProtection="1">
      <alignment horizontal="right" vertical="center"/>
      <protection locked="0"/>
    </xf>
    <xf numFmtId="1" fontId="6" fillId="0" borderId="36" xfId="5" applyNumberFormat="1" applyFont="1" applyBorder="1" applyAlignment="1" applyProtection="1">
      <alignment horizontal="right" vertical="center"/>
      <protection locked="0"/>
    </xf>
    <xf numFmtId="0" fontId="6" fillId="0" borderId="38" xfId="5" applyFont="1" applyBorder="1" applyAlignment="1">
      <alignment horizontal="left" vertical="center" wrapText="1"/>
    </xf>
    <xf numFmtId="1" fontId="8" fillId="0" borderId="17" xfId="5" applyNumberFormat="1" applyFont="1" applyBorder="1" applyAlignment="1" applyProtection="1">
      <alignment horizontal="right" vertical="center"/>
      <protection locked="0"/>
    </xf>
    <xf numFmtId="1" fontId="6" fillId="0" borderId="17" xfId="5" applyNumberFormat="1" applyFont="1" applyBorder="1" applyAlignment="1" applyProtection="1">
      <alignment horizontal="right" vertical="center"/>
      <protection locked="0"/>
    </xf>
    <xf numFmtId="177" fontId="8" fillId="0" borderId="39" xfId="1" applyNumberFormat="1" applyFont="1" applyFill="1" applyBorder="1" applyAlignment="1" applyProtection="1">
      <alignment horizontal="right" vertical="center"/>
    </xf>
    <xf numFmtId="1" fontId="8" fillId="0" borderId="41" xfId="5" applyNumberFormat="1" applyFont="1" applyBorder="1" applyAlignment="1" applyProtection="1">
      <alignment horizontal="right" vertical="center"/>
      <protection locked="0"/>
    </xf>
    <xf numFmtId="1" fontId="6" fillId="0" borderId="12" xfId="5" applyNumberFormat="1" applyFont="1" applyBorder="1" applyAlignment="1" applyProtection="1">
      <alignment horizontal="right" vertical="center"/>
      <protection locked="0"/>
    </xf>
    <xf numFmtId="1" fontId="6" fillId="39" borderId="41" xfId="5" applyNumberFormat="1" applyFont="1" applyFill="1" applyBorder="1" applyAlignment="1" applyProtection="1">
      <alignment horizontal="right" vertical="center"/>
      <protection locked="0"/>
    </xf>
    <xf numFmtId="1" fontId="6" fillId="39" borderId="11" xfId="5" applyNumberFormat="1" applyFont="1" applyFill="1" applyBorder="1" applyAlignment="1" applyProtection="1">
      <alignment horizontal="right" vertical="center"/>
      <protection locked="0"/>
    </xf>
    <xf numFmtId="1" fontId="6" fillId="39" borderId="9" xfId="5" applyNumberFormat="1" applyFont="1" applyFill="1" applyBorder="1" applyAlignment="1" applyProtection="1">
      <alignment horizontal="right" vertical="center"/>
      <protection locked="0"/>
    </xf>
    <xf numFmtId="0" fontId="6" fillId="39" borderId="99" xfId="77" applyFont="1" applyFill="1" applyBorder="1" applyAlignment="1">
      <alignment vertical="center" wrapText="1"/>
    </xf>
    <xf numFmtId="0" fontId="6" fillId="39" borderId="99" xfId="77" applyFont="1" applyFill="1" applyBorder="1" applyAlignment="1">
      <alignment horizontal="center" wrapText="1"/>
    </xf>
    <xf numFmtId="43" fontId="6" fillId="39" borderId="99" xfId="1" applyFont="1" applyFill="1" applyBorder="1" applyAlignment="1" applyProtection="1">
      <alignment horizontal="center" vertical="center"/>
    </xf>
    <xf numFmtId="0" fontId="8" fillId="0" borderId="39" xfId="5" applyFont="1" applyBorder="1" applyAlignment="1">
      <alignment horizontal="center"/>
    </xf>
    <xf numFmtId="179" fontId="8" fillId="0" borderId="39" xfId="130" applyNumberFormat="1" applyFont="1" applyFill="1" applyBorder="1" applyAlignment="1" applyProtection="1">
      <alignment horizontal="center" wrapText="1"/>
    </xf>
    <xf numFmtId="1" fontId="8" fillId="0" borderId="42" xfId="5" applyNumberFormat="1" applyFont="1" applyBorder="1" applyAlignment="1" applyProtection="1">
      <alignment horizontal="right" vertical="center"/>
      <protection locked="0"/>
    </xf>
    <xf numFmtId="1" fontId="8" fillId="0" borderId="43" xfId="5" applyNumberFormat="1" applyFont="1" applyBorder="1" applyAlignment="1" applyProtection="1">
      <alignment horizontal="right" vertical="center"/>
      <protection locked="0"/>
    </xf>
    <xf numFmtId="1" fontId="6" fillId="0" borderId="43" xfId="5" applyNumberFormat="1" applyFont="1" applyBorder="1" applyAlignment="1" applyProtection="1">
      <alignment horizontal="right" vertical="center"/>
      <protection locked="0"/>
    </xf>
    <xf numFmtId="1" fontId="6" fillId="0" borderId="19" xfId="5" applyNumberFormat="1" applyFont="1" applyBorder="1" applyAlignment="1" applyProtection="1">
      <alignment horizontal="right" vertical="center"/>
      <protection locked="0"/>
    </xf>
    <xf numFmtId="0" fontId="6" fillId="0" borderId="44" xfId="5" applyFont="1" applyBorder="1" applyAlignment="1">
      <alignment horizontal="left" vertical="center" wrapText="1"/>
    </xf>
    <xf numFmtId="179" fontId="8" fillId="0" borderId="44" xfId="130" applyNumberFormat="1" applyFont="1" applyFill="1" applyBorder="1" applyAlignment="1" applyProtection="1">
      <alignment horizontal="center" wrapText="1"/>
    </xf>
    <xf numFmtId="43" fontId="8" fillId="0" borderId="44" xfId="1" applyFont="1" applyFill="1" applyBorder="1" applyAlignment="1" applyProtection="1">
      <alignment horizontal="center" vertical="center"/>
    </xf>
    <xf numFmtId="4" fontId="8" fillId="0" borderId="0" xfId="4" applyNumberFormat="1" applyFont="1" applyAlignment="1">
      <alignment vertical="center"/>
    </xf>
    <xf numFmtId="0" fontId="8" fillId="0" borderId="0" xfId="4" applyFont="1" applyAlignment="1">
      <alignment horizontal="center"/>
    </xf>
    <xf numFmtId="43" fontId="8" fillId="0" borderId="0" xfId="1" applyFont="1" applyFill="1" applyBorder="1" applyAlignment="1" applyProtection="1">
      <alignment horizontal="center" vertical="center"/>
    </xf>
    <xf numFmtId="0" fontId="73" fillId="0" borderId="0" xfId="79" applyFont="1"/>
    <xf numFmtId="0" fontId="73" fillId="0" borderId="0" xfId="79" applyFont="1" applyAlignment="1">
      <alignment horizontal="center"/>
    </xf>
    <xf numFmtId="43" fontId="73" fillId="0" borderId="0" xfId="1" applyFont="1" applyAlignment="1"/>
    <xf numFmtId="0" fontId="8" fillId="0" borderId="0" xfId="79" applyFont="1"/>
    <xf numFmtId="1" fontId="6" fillId="25" borderId="98" xfId="5" applyNumberFormat="1" applyFont="1" applyFill="1" applyBorder="1" applyAlignment="1">
      <alignment vertical="center" wrapText="1"/>
    </xf>
    <xf numFmtId="1" fontId="6" fillId="25" borderId="15" xfId="5" applyNumberFormat="1" applyFont="1" applyFill="1" applyBorder="1" applyAlignment="1">
      <alignment vertical="center" wrapText="1"/>
    </xf>
    <xf numFmtId="1" fontId="6" fillId="25" borderId="14" xfId="5" applyNumberFormat="1" applyFont="1" applyFill="1" applyBorder="1" applyAlignment="1">
      <alignment vertical="center" wrapText="1"/>
    </xf>
    <xf numFmtId="4" fontId="6" fillId="25" borderId="13" xfId="5" applyNumberFormat="1" applyFont="1" applyFill="1" applyBorder="1" applyAlignment="1">
      <alignment horizontal="left" vertical="center" wrapText="1"/>
    </xf>
    <xf numFmtId="0" fontId="6" fillId="25" borderId="100" xfId="5" applyFont="1" applyFill="1" applyBorder="1" applyAlignment="1">
      <alignment horizontal="center" wrapText="1"/>
    </xf>
    <xf numFmtId="43" fontId="6" fillId="25" borderId="100" xfId="1" applyFont="1" applyFill="1" applyBorder="1" applyAlignment="1" applyProtection="1">
      <alignment horizontal="center" vertical="center" wrapText="1"/>
    </xf>
    <xf numFmtId="1" fontId="8" fillId="0" borderId="6" xfId="5" applyNumberFormat="1" applyFont="1" applyBorder="1" applyAlignment="1">
      <alignment horizontal="right" vertical="center"/>
    </xf>
    <xf numFmtId="1" fontId="6" fillId="0" borderId="3" xfId="5" applyNumberFormat="1" applyFont="1" applyBorder="1" applyAlignment="1">
      <alignment horizontal="right" vertical="center"/>
    </xf>
    <xf numFmtId="1" fontId="6" fillId="0" borderId="62" xfId="5" applyNumberFormat="1" applyFont="1" applyBorder="1" applyAlignment="1">
      <alignment horizontal="right" vertical="center"/>
    </xf>
    <xf numFmtId="0" fontId="6" fillId="0" borderId="46" xfId="77" applyFont="1" applyBorder="1" applyAlignment="1">
      <alignment vertical="center" wrapText="1"/>
    </xf>
    <xf numFmtId="177" fontId="8" fillId="0" borderId="39" xfId="1" applyNumberFormat="1" applyFont="1" applyFill="1" applyBorder="1" applyAlignment="1" applyProtection="1">
      <alignment horizontal="right" vertical="center" wrapText="1"/>
    </xf>
    <xf numFmtId="1" fontId="8" fillId="0" borderId="3" xfId="5" applyNumberFormat="1" applyFont="1" applyBorder="1" applyAlignment="1">
      <alignment horizontal="right" vertical="center"/>
    </xf>
    <xf numFmtId="1" fontId="8" fillId="0" borderId="62" xfId="5" applyNumberFormat="1" applyFont="1" applyBorder="1" applyAlignment="1">
      <alignment horizontal="right" vertical="center"/>
    </xf>
    <xf numFmtId="0" fontId="8" fillId="0" borderId="46" xfId="77" applyFont="1" applyBorder="1" applyAlignment="1">
      <alignment vertical="center" wrapText="1"/>
    </xf>
    <xf numFmtId="43" fontId="8" fillId="25" borderId="39" xfId="1" applyFont="1" applyFill="1" applyBorder="1" applyAlignment="1" applyProtection="1">
      <alignment horizontal="center" vertical="center" wrapText="1"/>
    </xf>
    <xf numFmtId="1" fontId="6" fillId="25" borderId="36" xfId="5" applyNumberFormat="1" applyFont="1" applyFill="1" applyBorder="1" applyAlignment="1">
      <alignment horizontal="right" vertical="center" wrapText="1"/>
    </xf>
    <xf numFmtId="1" fontId="6" fillId="25" borderId="37" xfId="5" applyNumberFormat="1" applyFont="1" applyFill="1" applyBorder="1" applyAlignment="1">
      <alignment horizontal="right" vertical="center" wrapText="1"/>
    </xf>
    <xf numFmtId="1" fontId="6" fillId="25" borderId="101" xfId="5" applyNumberFormat="1" applyFont="1" applyFill="1" applyBorder="1" applyAlignment="1">
      <alignment vertical="center" wrapText="1"/>
    </xf>
    <xf numFmtId="0" fontId="6" fillId="25" borderId="47" xfId="5" applyFont="1" applyFill="1" applyBorder="1" applyAlignment="1">
      <alignment horizontal="left" vertical="center" wrapText="1"/>
    </xf>
    <xf numFmtId="0" fontId="6" fillId="25" borderId="38" xfId="5" applyFont="1" applyFill="1" applyBorder="1" applyAlignment="1">
      <alignment horizontal="center" wrapText="1"/>
    </xf>
    <xf numFmtId="43" fontId="6" fillId="25" borderId="38" xfId="1" applyFont="1" applyFill="1" applyBorder="1" applyAlignment="1" applyProtection="1">
      <alignment horizontal="center" vertical="center" wrapText="1"/>
    </xf>
    <xf numFmtId="1" fontId="8" fillId="0" borderId="11" xfId="5" applyNumberFormat="1" applyFont="1" applyBorder="1" applyAlignment="1">
      <alignment horizontal="right" vertical="center"/>
    </xf>
    <xf numFmtId="1" fontId="8" fillId="0" borderId="102" xfId="5" applyNumberFormat="1" applyFont="1" applyBorder="1" applyAlignment="1">
      <alignment horizontal="right" vertical="center"/>
    </xf>
    <xf numFmtId="1" fontId="6" fillId="0" borderId="11" xfId="5" applyNumberFormat="1" applyFont="1" applyBorder="1" applyAlignment="1">
      <alignment horizontal="right" vertical="center"/>
    </xf>
    <xf numFmtId="1" fontId="6" fillId="0" borderId="102" xfId="5" applyNumberFormat="1" applyFont="1" applyBorder="1" applyAlignment="1">
      <alignment horizontal="right" vertical="center"/>
    </xf>
    <xf numFmtId="1" fontId="8" fillId="0" borderId="41" xfId="5" applyNumberFormat="1" applyFont="1" applyBorder="1" applyAlignment="1">
      <alignment horizontal="right" vertical="center"/>
    </xf>
    <xf numFmtId="0" fontId="6" fillId="0" borderId="8" xfId="77" applyFont="1" applyBorder="1" applyAlignment="1">
      <alignment vertical="center" wrapText="1"/>
    </xf>
    <xf numFmtId="1" fontId="6" fillId="25" borderId="6" xfId="5" applyNumberFormat="1" applyFont="1" applyFill="1" applyBorder="1" applyAlignment="1">
      <alignment horizontal="right" vertical="center" wrapText="1"/>
    </xf>
    <xf numFmtId="1" fontId="6" fillId="25" borderId="3" xfId="5" applyNumberFormat="1" applyFont="1" applyFill="1" applyBorder="1" applyAlignment="1">
      <alignment horizontal="right" vertical="center" wrapText="1"/>
    </xf>
    <xf numFmtId="1" fontId="6" fillId="25" borderId="17" xfId="5" applyNumberFormat="1" applyFont="1" applyFill="1" applyBorder="1" applyAlignment="1">
      <alignment vertical="center" wrapText="1"/>
    </xf>
    <xf numFmtId="0" fontId="6" fillId="25" borderId="1" xfId="5" applyFont="1" applyFill="1" applyBorder="1" applyAlignment="1">
      <alignment horizontal="left" vertical="center" wrapText="1"/>
    </xf>
    <xf numFmtId="43" fontId="6" fillId="25" borderId="39" xfId="1" applyFont="1" applyFill="1" applyBorder="1" applyAlignment="1" applyProtection="1">
      <alignment horizontal="center" vertical="center" wrapText="1"/>
    </xf>
    <xf numFmtId="0" fontId="6" fillId="0" borderId="46" xfId="5" applyFont="1" applyBorder="1" applyAlignment="1">
      <alignment horizontal="left" vertical="center"/>
    </xf>
    <xf numFmtId="0" fontId="6" fillId="0" borderId="46" xfId="5" applyFont="1" applyBorder="1" applyAlignment="1">
      <alignment horizontal="left" vertical="center" wrapText="1"/>
    </xf>
    <xf numFmtId="1" fontId="6" fillId="25" borderId="101" xfId="5" applyNumberFormat="1" applyFont="1" applyFill="1" applyBorder="1" applyAlignment="1">
      <alignment horizontal="right" vertical="center" wrapText="1"/>
    </xf>
    <xf numFmtId="0" fontId="8" fillId="0" borderId="38" xfId="5" applyFont="1" applyBorder="1" applyAlignment="1">
      <alignment horizontal="center" wrapText="1"/>
    </xf>
    <xf numFmtId="43" fontId="8" fillId="25" borderId="38" xfId="1" applyFont="1" applyFill="1" applyBorder="1" applyAlignment="1" applyProtection="1">
      <alignment horizontal="center" vertical="center" wrapText="1"/>
    </xf>
    <xf numFmtId="0" fontId="6" fillId="0" borderId="46" xfId="77" applyFont="1" applyBorder="1" applyAlignment="1">
      <alignment vertical="center"/>
    </xf>
    <xf numFmtId="1" fontId="6" fillId="0" borderId="3" xfId="77" applyNumberFormat="1" applyFont="1" applyBorder="1" applyAlignment="1">
      <alignment horizontal="right" vertical="center" wrapText="1"/>
    </xf>
    <xf numFmtId="1" fontId="6" fillId="0" borderId="62" xfId="77" applyNumberFormat="1" applyFont="1" applyBorder="1" applyAlignment="1">
      <alignment horizontal="right" vertical="center" wrapText="1"/>
    </xf>
    <xf numFmtId="177" fontId="8" fillId="25" borderId="39" xfId="1" applyNumberFormat="1" applyFont="1" applyFill="1" applyBorder="1" applyAlignment="1" applyProtection="1">
      <alignment horizontal="right" vertical="center" wrapText="1"/>
    </xf>
    <xf numFmtId="1" fontId="8" fillId="0" borderId="37" xfId="5" applyNumberFormat="1" applyFont="1" applyBorder="1" applyAlignment="1">
      <alignment horizontal="right" vertical="center"/>
    </xf>
    <xf numFmtId="43" fontId="8" fillId="25" borderId="39" xfId="1" applyFont="1" applyFill="1" applyBorder="1" applyAlignment="1">
      <alignment horizontal="center" vertical="center"/>
    </xf>
    <xf numFmtId="1" fontId="6" fillId="0" borderId="2" xfId="5" applyNumberFormat="1" applyFont="1" applyBorder="1" applyAlignment="1">
      <alignment horizontal="right" vertical="center"/>
    </xf>
    <xf numFmtId="1" fontId="8" fillId="0" borderId="45" xfId="5" applyNumberFormat="1" applyFont="1" applyBorder="1" applyAlignment="1">
      <alignment horizontal="right" vertical="center"/>
    </xf>
    <xf numFmtId="0" fontId="8" fillId="0" borderId="38" xfId="77" applyFont="1" applyBorder="1" applyAlignment="1">
      <alignment vertical="center" wrapText="1"/>
    </xf>
    <xf numFmtId="1" fontId="6" fillId="0" borderId="37" xfId="5" applyNumberFormat="1" applyFont="1" applyBorder="1" applyAlignment="1">
      <alignment horizontal="right" vertical="center"/>
    </xf>
    <xf numFmtId="1" fontId="6" fillId="0" borderId="45" xfId="5" applyNumberFormat="1" applyFont="1" applyBorder="1" applyAlignment="1">
      <alignment horizontal="right" vertical="center"/>
    </xf>
    <xf numFmtId="0" fontId="8" fillId="25" borderId="38" xfId="5" applyFont="1" applyFill="1" applyBorder="1" applyAlignment="1">
      <alignment horizontal="center" wrapText="1"/>
    </xf>
    <xf numFmtId="4" fontId="8" fillId="0" borderId="39" xfId="77" applyNumberFormat="1" applyFont="1" applyBorder="1" applyAlignment="1">
      <alignment horizontal="center" wrapText="1"/>
    </xf>
    <xf numFmtId="1" fontId="6" fillId="39" borderId="36" xfId="5" applyNumberFormat="1" applyFont="1" applyFill="1" applyBorder="1" applyAlignment="1">
      <alignment horizontal="right" vertical="center" wrapText="1"/>
    </xf>
    <xf numFmtId="1" fontId="6" fillId="39" borderId="37" xfId="5" applyNumberFormat="1" applyFont="1" applyFill="1" applyBorder="1" applyAlignment="1">
      <alignment horizontal="right" vertical="center" wrapText="1"/>
    </xf>
    <xf numFmtId="1" fontId="6" fillId="39" borderId="101" xfId="5" applyNumberFormat="1" applyFont="1" applyFill="1" applyBorder="1" applyAlignment="1">
      <alignment vertical="center" wrapText="1"/>
    </xf>
    <xf numFmtId="0" fontId="6" fillId="39" borderId="47" xfId="5" applyFont="1" applyFill="1" applyBorder="1" applyAlignment="1">
      <alignment horizontal="left" vertical="center" wrapText="1"/>
    </xf>
    <xf numFmtId="0" fontId="6" fillId="39" borderId="38" xfId="5" applyFont="1" applyFill="1" applyBorder="1" applyAlignment="1">
      <alignment horizontal="center" wrapText="1"/>
    </xf>
    <xf numFmtId="43" fontId="6" fillId="39" borderId="38" xfId="1" applyFont="1" applyFill="1" applyBorder="1" applyAlignment="1" applyProtection="1">
      <alignment horizontal="center" vertical="center"/>
    </xf>
    <xf numFmtId="1" fontId="8" fillId="0" borderId="42" xfId="5" applyNumberFormat="1" applyFont="1" applyBorder="1" applyAlignment="1">
      <alignment horizontal="right" vertical="center"/>
    </xf>
    <xf numFmtId="1" fontId="8" fillId="0" borderId="43" xfId="5" applyNumberFormat="1" applyFont="1" applyBorder="1" applyAlignment="1">
      <alignment horizontal="right" vertical="center"/>
    </xf>
    <xf numFmtId="1" fontId="6" fillId="0" borderId="43" xfId="5" applyNumberFormat="1" applyFont="1" applyBorder="1" applyAlignment="1">
      <alignment horizontal="right" vertical="center"/>
    </xf>
    <xf numFmtId="1" fontId="6" fillId="0" borderId="64" xfId="5" applyNumberFormat="1" applyFont="1" applyBorder="1" applyAlignment="1">
      <alignment horizontal="right" vertical="center"/>
    </xf>
    <xf numFmtId="0" fontId="6" fillId="0" borderId="18" xfId="77" applyFont="1" applyBorder="1" applyAlignment="1">
      <alignment vertical="center" wrapText="1"/>
    </xf>
    <xf numFmtId="0" fontId="8" fillId="0" borderId="44" xfId="77" applyFont="1" applyBorder="1" applyAlignment="1">
      <alignment horizontal="center" wrapText="1"/>
    </xf>
    <xf numFmtId="43" fontId="8" fillId="0" borderId="0" xfId="1" applyFont="1" applyFill="1" applyAlignment="1">
      <alignment horizontal="center" vertical="center"/>
    </xf>
    <xf numFmtId="0" fontId="8" fillId="0" borderId="0" xfId="79" applyFont="1" applyAlignment="1">
      <alignment horizontal="center"/>
    </xf>
    <xf numFmtId="43" fontId="8" fillId="0" borderId="0" xfId="1" applyFont="1"/>
    <xf numFmtId="180" fontId="74" fillId="23" borderId="0" xfId="119" applyNumberFormat="1" applyFont="1" applyFill="1" applyAlignment="1">
      <alignment horizontal="center" vertical="center"/>
    </xf>
    <xf numFmtId="0" fontId="75" fillId="0" borderId="0" xfId="4" applyFont="1" applyAlignment="1">
      <alignment vertical="center"/>
    </xf>
    <xf numFmtId="0" fontId="48" fillId="23" borderId="0" xfId="4" applyFont="1" applyFill="1" applyAlignment="1">
      <alignment horizontal="center" vertical="center"/>
    </xf>
    <xf numFmtId="0" fontId="48" fillId="23" borderId="24" xfId="4" applyFont="1" applyFill="1" applyBorder="1" applyAlignment="1">
      <alignment horizontal="center" vertical="center"/>
    </xf>
    <xf numFmtId="180" fontId="74" fillId="23" borderId="0" xfId="119" applyNumberFormat="1" applyFont="1" applyFill="1" applyBorder="1" applyAlignment="1">
      <alignment horizontal="center" vertical="center"/>
    </xf>
    <xf numFmtId="0" fontId="48" fillId="23" borderId="0" xfId="4" applyFont="1" applyFill="1" applyAlignment="1">
      <alignment vertical="center"/>
    </xf>
    <xf numFmtId="0" fontId="49" fillId="23" borderId="0" xfId="4" applyFont="1" applyFill="1" applyAlignment="1">
      <alignment horizontal="center" vertical="center"/>
    </xf>
    <xf numFmtId="0" fontId="76" fillId="23" borderId="0" xfId="4" applyFont="1" applyFill="1" applyAlignment="1">
      <alignment horizontal="center" vertical="center"/>
    </xf>
    <xf numFmtId="0" fontId="71" fillId="23" borderId="0" xfId="4" applyFont="1" applyFill="1" applyAlignment="1">
      <alignment horizontal="center" vertical="center"/>
    </xf>
    <xf numFmtId="0" fontId="49" fillId="24" borderId="34" xfId="5" applyFont="1" applyFill="1" applyBorder="1" applyAlignment="1">
      <alignment horizontal="center" vertical="center"/>
    </xf>
    <xf numFmtId="0" fontId="49" fillId="23" borderId="23" xfId="5" applyFont="1" applyFill="1" applyBorder="1" applyAlignment="1">
      <alignment horizontal="center" vertical="center"/>
    </xf>
    <xf numFmtId="0" fontId="49" fillId="23" borderId="30" xfId="5" applyFont="1" applyFill="1" applyBorder="1" applyAlignment="1">
      <alignment vertical="center" wrapText="1"/>
    </xf>
    <xf numFmtId="164" fontId="47" fillId="0" borderId="34" xfId="116" applyFont="1" applyFill="1" applyBorder="1" applyAlignment="1" applyProtection="1">
      <alignment horizontal="center" vertical="center" wrapText="1"/>
    </xf>
    <xf numFmtId="164" fontId="47" fillId="24" borderId="34" xfId="116" applyFont="1" applyFill="1" applyBorder="1" applyAlignment="1" applyProtection="1">
      <alignment horizontal="center" vertical="center" wrapText="1"/>
    </xf>
    <xf numFmtId="0" fontId="76" fillId="23" borderId="0" xfId="5" applyFont="1" applyFill="1" applyAlignment="1">
      <alignment vertical="center" wrapText="1"/>
    </xf>
    <xf numFmtId="0" fontId="45" fillId="24" borderId="0" xfId="129" applyFont="1" applyFill="1" applyAlignment="1">
      <alignment vertical="center"/>
    </xf>
    <xf numFmtId="0" fontId="49" fillId="23" borderId="0" xfId="5" applyFont="1" applyFill="1" applyAlignment="1">
      <alignment vertical="center" wrapText="1"/>
    </xf>
    <xf numFmtId="0" fontId="46" fillId="40" borderId="103" xfId="5" applyFont="1" applyFill="1" applyBorder="1" applyAlignment="1">
      <alignment horizontal="center" vertical="center" wrapText="1"/>
    </xf>
    <xf numFmtId="0" fontId="49" fillId="40" borderId="60" xfId="77" applyFont="1" applyFill="1" applyBorder="1" applyAlignment="1">
      <alignment horizontal="center" vertical="center" wrapText="1"/>
    </xf>
    <xf numFmtId="0" fontId="49" fillId="40" borderId="60" xfId="77" applyFont="1" applyFill="1" applyBorder="1" applyAlignment="1">
      <alignment horizontal="left" vertical="center" wrapText="1"/>
    </xf>
    <xf numFmtId="164" fontId="77" fillId="40" borderId="61" xfId="119" applyFont="1" applyFill="1" applyBorder="1" applyAlignment="1" applyProtection="1">
      <alignment horizontal="center" vertical="center" wrapText="1"/>
    </xf>
    <xf numFmtId="0" fontId="76" fillId="0" borderId="0" xfId="4" applyFont="1" applyAlignment="1">
      <alignment vertical="center" wrapText="1"/>
    </xf>
    <xf numFmtId="49" fontId="76" fillId="0" borderId="0" xfId="4" applyNumberFormat="1" applyFont="1" applyAlignment="1">
      <alignment vertical="center" wrapText="1"/>
    </xf>
    <xf numFmtId="0" fontId="49" fillId="0" borderId="0" xfId="4" applyFont="1" applyAlignment="1">
      <alignment vertical="center" wrapText="1"/>
    </xf>
    <xf numFmtId="164" fontId="49" fillId="0" borderId="0" xfId="4" applyNumberFormat="1" applyFont="1" applyAlignment="1">
      <alignment vertical="center" wrapText="1"/>
    </xf>
    <xf numFmtId="0" fontId="46" fillId="4" borderId="62" xfId="5" applyFont="1" applyFill="1" applyBorder="1" applyAlignment="1">
      <alignment horizontal="center" vertical="center" wrapText="1"/>
    </xf>
    <xf numFmtId="0" fontId="49" fillId="4" borderId="46" xfId="77" applyFont="1" applyFill="1" applyBorder="1" applyAlignment="1">
      <alignment horizontal="center" vertical="center" wrapText="1"/>
    </xf>
    <xf numFmtId="0" fontId="49" fillId="4" borderId="46" xfId="77" applyFont="1" applyFill="1" applyBorder="1" applyAlignment="1">
      <alignment horizontal="left" vertical="center" wrapText="1"/>
    </xf>
    <xf numFmtId="164" fontId="78" fillId="4" borderId="39" xfId="119" applyFont="1" applyFill="1" applyBorder="1" applyAlignment="1">
      <alignment horizontal="center" vertical="center" wrapText="1"/>
    </xf>
    <xf numFmtId="0" fontId="76" fillId="24" borderId="0" xfId="4" applyFont="1" applyFill="1" applyAlignment="1">
      <alignment vertical="center" wrapText="1"/>
    </xf>
    <xf numFmtId="0" fontId="54" fillId="32" borderId="62" xfId="5" applyFont="1" applyFill="1" applyBorder="1" applyAlignment="1">
      <alignment horizontal="center" vertical="center" wrapText="1"/>
    </xf>
    <xf numFmtId="0" fontId="55" fillId="32" borderId="46" xfId="77" applyFont="1" applyFill="1" applyBorder="1" applyAlignment="1">
      <alignment horizontal="center" vertical="center" wrapText="1"/>
    </xf>
    <xf numFmtId="0" fontId="55" fillId="32" borderId="46" xfId="77" applyFont="1" applyFill="1" applyBorder="1" applyAlignment="1">
      <alignment horizontal="left" vertical="center" wrapText="1"/>
    </xf>
    <xf numFmtId="164" fontId="78" fillId="32" borderId="39" xfId="119" applyFont="1" applyFill="1" applyBorder="1" applyAlignment="1">
      <alignment horizontal="center" vertical="center" wrapText="1"/>
    </xf>
    <xf numFmtId="0" fontId="55" fillId="0" borderId="0" xfId="4" applyFont="1" applyAlignment="1">
      <alignment vertical="center" wrapText="1"/>
    </xf>
    <xf numFmtId="0" fontId="46" fillId="0" borderId="62" xfId="5" applyFont="1" applyBorder="1" applyAlignment="1">
      <alignment horizontal="center" vertical="center" wrapText="1"/>
    </xf>
    <xf numFmtId="0" fontId="46" fillId="0" borderId="46" xfId="77" applyFont="1" applyBorder="1" applyAlignment="1">
      <alignment horizontal="center" vertical="center" wrapText="1"/>
    </xf>
    <xf numFmtId="0" fontId="46" fillId="0" borderId="46" xfId="77" applyFont="1" applyBorder="1" applyAlignment="1">
      <alignment horizontal="left" vertical="center" wrapText="1"/>
    </xf>
    <xf numFmtId="164" fontId="78" fillId="0" borderId="39" xfId="119" applyFont="1" applyBorder="1" applyAlignment="1">
      <alignment horizontal="center" vertical="center" wrapText="1"/>
    </xf>
    <xf numFmtId="49" fontId="48" fillId="0" borderId="0" xfId="4" applyNumberFormat="1" applyFont="1" applyAlignment="1">
      <alignment vertical="center" wrapText="1"/>
    </xf>
    <xf numFmtId="0" fontId="46" fillId="0" borderId="0" xfId="4" applyFont="1" applyAlignment="1">
      <alignment vertical="center" wrapText="1"/>
    </xf>
    <xf numFmtId="0" fontId="46" fillId="32" borderId="62" xfId="5" applyFont="1" applyFill="1" applyBorder="1" applyAlignment="1">
      <alignment horizontal="center" vertical="center" wrapText="1"/>
    </xf>
    <xf numFmtId="0" fontId="55" fillId="0" borderId="46" xfId="77" applyFont="1" applyBorder="1" applyAlignment="1">
      <alignment horizontal="center" vertical="center" wrapText="1"/>
    </xf>
    <xf numFmtId="0" fontId="55" fillId="0" borderId="46" xfId="77" applyFont="1" applyBorder="1" applyAlignment="1">
      <alignment horizontal="left" vertical="center" wrapText="1"/>
    </xf>
    <xf numFmtId="0" fontId="46" fillId="0" borderId="103" xfId="5" applyFont="1" applyBorder="1" applyAlignment="1">
      <alignment horizontal="center" vertical="center" wrapText="1"/>
    </xf>
    <xf numFmtId="0" fontId="46" fillId="0" borderId="64" xfId="5" applyFont="1" applyBorder="1" applyAlignment="1">
      <alignment horizontal="center" vertical="center" wrapText="1"/>
    </xf>
    <xf numFmtId="0" fontId="46" fillId="0" borderId="18" xfId="77" applyFont="1" applyBorder="1" applyAlignment="1">
      <alignment horizontal="center" vertical="center" wrapText="1"/>
    </xf>
    <xf numFmtId="0" fontId="46" fillId="0" borderId="18" xfId="77" applyFont="1" applyBorder="1" applyAlignment="1">
      <alignment horizontal="left" vertical="center" wrapText="1"/>
    </xf>
    <xf numFmtId="0" fontId="46" fillId="4" borderId="103" xfId="5" applyFont="1" applyFill="1" applyBorder="1" applyAlignment="1">
      <alignment horizontal="center" vertical="center" wrapText="1"/>
    </xf>
    <xf numFmtId="0" fontId="49" fillId="4" borderId="60" xfId="77" applyFont="1" applyFill="1" applyBorder="1" applyAlignment="1">
      <alignment horizontal="center" vertical="center" wrapText="1"/>
    </xf>
    <xf numFmtId="0" fontId="49" fillId="4" borderId="60" xfId="77" applyFont="1" applyFill="1" applyBorder="1" applyAlignment="1">
      <alignment horizontal="left" vertical="center" wrapText="1"/>
    </xf>
    <xf numFmtId="164" fontId="78" fillId="4" borderId="61" xfId="119" applyFont="1" applyFill="1" applyBorder="1" applyAlignment="1">
      <alignment horizontal="center" vertical="center" wrapText="1"/>
    </xf>
    <xf numFmtId="164" fontId="78" fillId="40" borderId="61" xfId="119" applyFont="1" applyFill="1" applyBorder="1" applyAlignment="1">
      <alignment horizontal="center" vertical="center" wrapText="1"/>
    </xf>
    <xf numFmtId="0" fontId="46" fillId="24" borderId="62" xfId="5" applyFont="1" applyFill="1" applyBorder="1" applyAlignment="1">
      <alignment horizontal="center" vertical="center" wrapText="1"/>
    </xf>
    <xf numFmtId="0" fontId="46" fillId="24" borderId="46" xfId="77" applyFont="1" applyFill="1" applyBorder="1" applyAlignment="1">
      <alignment horizontal="center" vertical="center" wrapText="1"/>
    </xf>
    <xf numFmtId="0" fontId="46" fillId="24" borderId="46" xfId="77" applyFont="1" applyFill="1" applyBorder="1" applyAlignment="1">
      <alignment horizontal="left" vertical="center" wrapText="1"/>
    </xf>
    <xf numFmtId="49" fontId="48" fillId="24" borderId="0" xfId="4" applyNumberFormat="1" applyFont="1" applyFill="1" applyAlignment="1">
      <alignment vertical="center" wrapText="1"/>
    </xf>
    <xf numFmtId="0" fontId="48" fillId="24" borderId="0" xfId="4" applyFont="1" applyFill="1" applyAlignment="1">
      <alignment vertical="center" wrapText="1"/>
    </xf>
    <xf numFmtId="49" fontId="46" fillId="24" borderId="0" xfId="4" applyNumberFormat="1" applyFont="1" applyFill="1" applyAlignment="1">
      <alignment vertical="center" wrapText="1"/>
    </xf>
    <xf numFmtId="0" fontId="56" fillId="24" borderId="62" xfId="5" applyFont="1" applyFill="1" applyBorder="1" applyAlignment="1">
      <alignment horizontal="center" vertical="center" wrapText="1"/>
    </xf>
    <xf numFmtId="0" fontId="46" fillId="41" borderId="62" xfId="5" applyFont="1" applyFill="1" applyBorder="1" applyAlignment="1">
      <alignment horizontal="center" vertical="center" wrapText="1"/>
    </xf>
    <xf numFmtId="0" fontId="46" fillId="41" borderId="46" xfId="77" applyFont="1" applyFill="1" applyBorder="1" applyAlignment="1">
      <alignment horizontal="center" vertical="center" wrapText="1"/>
    </xf>
    <xf numFmtId="0" fontId="46" fillId="41" borderId="46" xfId="77" applyFont="1" applyFill="1" applyBorder="1" applyAlignment="1">
      <alignment horizontal="left" vertical="center" wrapText="1"/>
    </xf>
    <xf numFmtId="164" fontId="78" fillId="41" borderId="39" xfId="119" applyFont="1" applyFill="1" applyBorder="1" applyAlignment="1">
      <alignment horizontal="center" vertical="center" wrapText="1"/>
    </xf>
    <xf numFmtId="0" fontId="46" fillId="24" borderId="46" xfId="77" applyFont="1" applyFill="1" applyBorder="1" applyAlignment="1">
      <alignment vertical="center" wrapText="1"/>
    </xf>
    <xf numFmtId="0" fontId="46" fillId="24" borderId="62" xfId="5" applyFont="1" applyFill="1" applyBorder="1" applyAlignment="1">
      <alignment horizontal="center" vertical="center"/>
    </xf>
    <xf numFmtId="0" fontId="56" fillId="41" borderId="62" xfId="5" applyFont="1" applyFill="1" applyBorder="1" applyAlignment="1">
      <alignment horizontal="center" vertical="center"/>
    </xf>
    <xf numFmtId="0" fontId="46" fillId="41" borderId="46" xfId="77" applyFont="1" applyFill="1" applyBorder="1" applyAlignment="1">
      <alignment vertical="center" wrapText="1"/>
    </xf>
    <xf numFmtId="0" fontId="48" fillId="0" borderId="0" xfId="4" applyFont="1" applyAlignment="1">
      <alignment vertical="center" wrapText="1"/>
    </xf>
    <xf numFmtId="49" fontId="46" fillId="0" borderId="0" xfId="4" applyNumberFormat="1" applyFont="1" applyAlignment="1">
      <alignment vertical="center" wrapText="1"/>
    </xf>
    <xf numFmtId="0" fontId="46" fillId="0" borderId="62" xfId="5" applyFont="1" applyBorder="1" applyAlignment="1">
      <alignment horizontal="center" vertical="center"/>
    </xf>
    <xf numFmtId="0" fontId="46" fillId="0" borderId="46" xfId="77" applyFont="1" applyBorder="1" applyAlignment="1">
      <alignment vertical="center" wrapText="1"/>
    </xf>
    <xf numFmtId="0" fontId="46" fillId="0" borderId="102" xfId="5" applyFont="1" applyBorder="1" applyAlignment="1">
      <alignment horizontal="center" vertical="center"/>
    </xf>
    <xf numFmtId="0" fontId="79" fillId="32" borderId="62" xfId="5" applyFont="1" applyFill="1" applyBorder="1" applyAlignment="1">
      <alignment horizontal="center" vertical="center" wrapText="1"/>
    </xf>
    <xf numFmtId="0" fontId="46" fillId="0" borderId="39" xfId="77" applyFont="1" applyBorder="1" applyAlignment="1">
      <alignment horizontal="center" vertical="center" wrapText="1"/>
    </xf>
    <xf numFmtId="0" fontId="46" fillId="0" borderId="2" xfId="120" applyFont="1" applyBorder="1" applyAlignment="1">
      <alignment horizontal="left" vertical="center"/>
    </xf>
    <xf numFmtId="0" fontId="46" fillId="0" borderId="39" xfId="120" applyFont="1" applyBorder="1" applyAlignment="1">
      <alignment horizontal="center" vertical="center"/>
    </xf>
    <xf numFmtId="0" fontId="46" fillId="0" borderId="39" xfId="77" applyFont="1" applyBorder="1" applyAlignment="1">
      <alignment horizontal="left" vertical="center" wrapText="1"/>
    </xf>
    <xf numFmtId="0" fontId="46" fillId="41" borderId="39" xfId="77" applyFont="1" applyFill="1" applyBorder="1" applyAlignment="1">
      <alignment horizontal="center" vertical="center" wrapText="1"/>
    </xf>
    <xf numFmtId="0" fontId="46" fillId="41" borderId="39" xfId="77" applyFont="1" applyFill="1" applyBorder="1" applyAlignment="1">
      <alignment horizontal="left" vertical="center" wrapText="1"/>
    </xf>
    <xf numFmtId="0" fontId="49" fillId="4" borderId="104" xfId="77" applyFont="1" applyFill="1" applyBorder="1" applyAlignment="1">
      <alignment horizontal="center" vertical="center" wrapText="1"/>
    </xf>
    <xf numFmtId="0" fontId="49" fillId="4" borderId="104" xfId="77" applyFont="1" applyFill="1" applyBorder="1" applyAlignment="1">
      <alignment horizontal="left" vertical="center" wrapText="1"/>
    </xf>
    <xf numFmtId="164" fontId="78" fillId="4" borderId="38" xfId="119" applyFont="1" applyFill="1" applyBorder="1" applyAlignment="1">
      <alignment horizontal="center" vertical="center" wrapText="1"/>
    </xf>
    <xf numFmtId="0" fontId="55" fillId="0" borderId="18" xfId="77" applyFont="1" applyBorder="1" applyAlignment="1">
      <alignment horizontal="center" vertical="center" wrapText="1"/>
    </xf>
    <xf numFmtId="0" fontId="55" fillId="0" borderId="18" xfId="77" applyFont="1" applyBorder="1" applyAlignment="1">
      <alignment horizontal="left" vertical="center" wrapText="1"/>
    </xf>
    <xf numFmtId="0" fontId="49" fillId="0" borderId="62" xfId="5" applyFont="1" applyBorder="1" applyAlignment="1">
      <alignment horizontal="center" vertical="center" wrapText="1"/>
    </xf>
    <xf numFmtId="0" fontId="49" fillId="0" borderId="64" xfId="5" applyFont="1" applyBorder="1" applyAlignment="1">
      <alignment horizontal="center" vertical="center" wrapText="1"/>
    </xf>
    <xf numFmtId="0" fontId="46" fillId="39" borderId="59" xfId="5" applyFont="1" applyFill="1" applyBorder="1" applyAlignment="1">
      <alignment horizontal="center" vertical="center" wrapText="1"/>
    </xf>
    <xf numFmtId="0" fontId="49" fillId="39" borderId="30" xfId="77" applyFont="1" applyFill="1" applyBorder="1" applyAlignment="1">
      <alignment horizontal="center" vertical="center" wrapText="1"/>
    </xf>
    <xf numFmtId="0" fontId="49" fillId="39" borderId="30" xfId="77" applyFont="1" applyFill="1" applyBorder="1" applyAlignment="1">
      <alignment horizontal="left" vertical="center" wrapText="1"/>
    </xf>
    <xf numFmtId="164" fontId="78" fillId="39" borderId="34" xfId="119" applyFont="1" applyFill="1" applyBorder="1" applyAlignment="1">
      <alignment horizontal="center" vertical="center" wrapText="1"/>
    </xf>
    <xf numFmtId="0" fontId="46" fillId="40" borderId="68" xfId="5" applyFont="1" applyFill="1" applyBorder="1" applyAlignment="1">
      <alignment horizontal="center" vertical="center" wrapText="1"/>
    </xf>
    <xf numFmtId="0" fontId="49" fillId="40" borderId="104" xfId="77" applyFont="1" applyFill="1" applyBorder="1" applyAlignment="1">
      <alignment horizontal="left" vertical="center" wrapText="1"/>
    </xf>
    <xf numFmtId="164" fontId="78" fillId="40" borderId="38" xfId="119" applyFont="1" applyFill="1" applyBorder="1" applyAlignment="1">
      <alignment horizontal="center" vertical="center" wrapText="1"/>
    </xf>
    <xf numFmtId="0" fontId="49" fillId="24" borderId="46" xfId="77" applyFont="1" applyFill="1" applyBorder="1" applyAlignment="1">
      <alignment horizontal="center" vertical="center" wrapText="1"/>
    </xf>
    <xf numFmtId="0" fontId="49" fillId="24" borderId="46" xfId="77" applyFont="1" applyFill="1" applyBorder="1" applyAlignment="1">
      <alignment horizontal="left" vertical="center" wrapText="1"/>
    </xf>
    <xf numFmtId="0" fontId="46" fillId="0" borderId="102" xfId="5" applyFont="1" applyBorder="1" applyAlignment="1">
      <alignment horizontal="center" vertical="center" wrapText="1"/>
    </xf>
    <xf numFmtId="0" fontId="49" fillId="24" borderId="18" xfId="77" applyFont="1" applyFill="1" applyBorder="1" applyAlignment="1">
      <alignment horizontal="center" vertical="center" wrapText="1"/>
    </xf>
    <xf numFmtId="0" fontId="49" fillId="24" borderId="18" xfId="77" applyFont="1" applyFill="1" applyBorder="1" applyAlignment="1">
      <alignment horizontal="left" vertical="center" wrapText="1"/>
    </xf>
    <xf numFmtId="0" fontId="49" fillId="0" borderId="46" xfId="77" applyFont="1" applyBorder="1" applyAlignment="1">
      <alignment horizontal="center" vertical="center" wrapText="1"/>
    </xf>
    <xf numFmtId="0" fontId="49" fillId="0" borderId="46" xfId="77" applyFont="1" applyBorder="1" applyAlignment="1">
      <alignment horizontal="left" vertical="center" wrapText="1"/>
    </xf>
    <xf numFmtId="0" fontId="49" fillId="0" borderId="18" xfId="77" applyFont="1" applyBorder="1" applyAlignment="1">
      <alignment horizontal="center" vertical="center" wrapText="1"/>
    </xf>
    <xf numFmtId="0" fontId="49" fillId="0" borderId="18" xfId="77" applyFont="1" applyBorder="1" applyAlignment="1">
      <alignment horizontal="left" vertical="center" wrapText="1"/>
    </xf>
    <xf numFmtId="0" fontId="55" fillId="24" borderId="46" xfId="77" applyFont="1" applyFill="1" applyBorder="1" applyAlignment="1">
      <alignment horizontal="center" vertical="center" wrapText="1"/>
    </xf>
    <xf numFmtId="0" fontId="55" fillId="24" borderId="46" xfId="77" applyFont="1" applyFill="1" applyBorder="1" applyAlignment="1">
      <alignment horizontal="left" vertical="center" wrapText="1"/>
    </xf>
    <xf numFmtId="0" fontId="55" fillId="0" borderId="6" xfId="77" applyFont="1" applyBorder="1" applyAlignment="1">
      <alignment horizontal="center" vertical="center" wrapText="1"/>
    </xf>
    <xf numFmtId="0" fontId="55" fillId="0" borderId="46" xfId="77" applyFont="1" applyBorder="1" applyAlignment="1">
      <alignment vertical="center" wrapText="1"/>
    </xf>
    <xf numFmtId="0" fontId="55" fillId="0" borderId="8" xfId="77" applyFont="1" applyBorder="1" applyAlignment="1">
      <alignment horizontal="center" vertical="center" wrapText="1"/>
    </xf>
    <xf numFmtId="0" fontId="55" fillId="0" borderId="8" xfId="77" applyFont="1" applyBorder="1" applyAlignment="1">
      <alignment horizontal="left" vertical="center" wrapText="1"/>
    </xf>
    <xf numFmtId="0" fontId="46" fillId="0" borderId="39" xfId="5" applyFont="1" applyBorder="1" applyAlignment="1">
      <alignment horizontal="center" vertical="center" wrapText="1"/>
    </xf>
    <xf numFmtId="0" fontId="55" fillId="0" borderId="39" xfId="77" applyFont="1" applyBorder="1" applyAlignment="1">
      <alignment horizontal="center" vertical="center" wrapText="1"/>
    </xf>
    <xf numFmtId="0" fontId="55" fillId="0" borderId="39" xfId="77" applyFont="1" applyBorder="1" applyAlignment="1">
      <alignment horizontal="left" vertical="center" wrapText="1"/>
    </xf>
    <xf numFmtId="0" fontId="49" fillId="40" borderId="104" xfId="77" applyFont="1" applyFill="1" applyBorder="1" applyAlignment="1">
      <alignment horizontal="center" vertical="center" wrapText="1"/>
    </xf>
    <xf numFmtId="0" fontId="46" fillId="40" borderId="62" xfId="5" applyFont="1" applyFill="1" applyBorder="1" applyAlignment="1">
      <alignment horizontal="center" vertical="center" wrapText="1"/>
    </xf>
    <xf numFmtId="0" fontId="49" fillId="40" borderId="46" xfId="77" applyFont="1" applyFill="1" applyBorder="1" applyAlignment="1">
      <alignment horizontal="center" vertical="center" wrapText="1"/>
    </xf>
    <xf numFmtId="0" fontId="49" fillId="24" borderId="62" xfId="5" applyFont="1" applyFill="1" applyBorder="1" applyAlignment="1">
      <alignment horizontal="center" vertical="center" wrapText="1"/>
    </xf>
    <xf numFmtId="0" fontId="55" fillId="24" borderId="6" xfId="77" applyFont="1" applyFill="1" applyBorder="1" applyAlignment="1">
      <alignment horizontal="center" vertical="center" wrapText="1"/>
    </xf>
    <xf numFmtId="0" fontId="55" fillId="24" borderId="46" xfId="77" applyFont="1" applyFill="1" applyBorder="1" applyAlignment="1">
      <alignment vertical="center" wrapText="1"/>
    </xf>
    <xf numFmtId="0" fontId="49" fillId="0" borderId="102" xfId="5" applyFont="1" applyBorder="1" applyAlignment="1">
      <alignment horizontal="center" vertical="center"/>
    </xf>
    <xf numFmtId="0" fontId="49" fillId="24" borderId="6" xfId="77" applyFont="1" applyFill="1" applyBorder="1" applyAlignment="1">
      <alignment horizontal="center" vertical="center" wrapText="1"/>
    </xf>
    <xf numFmtId="0" fontId="49" fillId="0" borderId="46" xfId="77" applyFont="1" applyBorder="1" applyAlignment="1">
      <alignment vertical="center" wrapText="1"/>
    </xf>
    <xf numFmtId="0" fontId="49" fillId="24" borderId="62" xfId="5" applyFont="1" applyFill="1" applyBorder="1" applyAlignment="1">
      <alignment horizontal="center" vertical="center"/>
    </xf>
    <xf numFmtId="0" fontId="46" fillId="24" borderId="6" xfId="77" applyFont="1" applyFill="1" applyBorder="1" applyAlignment="1">
      <alignment horizontal="center" vertical="center" wrapText="1"/>
    </xf>
    <xf numFmtId="0" fontId="55" fillId="0" borderId="39" xfId="120" applyFont="1" applyBorder="1" applyAlignment="1">
      <alignment vertical="center"/>
    </xf>
    <xf numFmtId="0" fontId="55" fillId="0" borderId="39" xfId="120" applyFont="1" applyBorder="1" applyAlignment="1">
      <alignment horizontal="center" vertical="center" wrapText="1"/>
    </xf>
    <xf numFmtId="0" fontId="55" fillId="0" borderId="39" xfId="120" applyFont="1" applyBorder="1" applyAlignment="1">
      <alignment vertical="center" wrapText="1"/>
    </xf>
    <xf numFmtId="0" fontId="49" fillId="0" borderId="102" xfId="5" applyFont="1" applyBorder="1" applyAlignment="1">
      <alignment horizontal="center" vertical="center" wrapText="1"/>
    </xf>
    <xf numFmtId="0" fontId="49" fillId="39" borderId="58" xfId="77" applyFont="1" applyFill="1" applyBorder="1" applyAlignment="1">
      <alignment horizontal="center" vertical="center" wrapText="1"/>
    </xf>
    <xf numFmtId="0" fontId="49" fillId="39" borderId="58" xfId="77" applyFont="1" applyFill="1" applyBorder="1" applyAlignment="1">
      <alignment horizontal="left" vertical="center" wrapText="1"/>
    </xf>
    <xf numFmtId="164" fontId="78" fillId="39" borderId="35" xfId="119" applyFont="1" applyFill="1" applyBorder="1" applyAlignment="1">
      <alignment horizontal="center" vertical="center" wrapText="1"/>
    </xf>
    <xf numFmtId="164" fontId="78" fillId="0" borderId="44" xfId="119" applyFont="1" applyBorder="1" applyAlignment="1">
      <alignment horizontal="center" vertical="center" wrapText="1"/>
    </xf>
    <xf numFmtId="49" fontId="48" fillId="23" borderId="0" xfId="4" applyNumberFormat="1" applyFont="1" applyFill="1" applyAlignment="1">
      <alignment vertical="center"/>
    </xf>
    <xf numFmtId="177" fontId="8" fillId="0" borderId="0" xfId="4" applyNumberFormat="1" applyFont="1" applyAlignment="1">
      <alignment vertical="center"/>
    </xf>
    <xf numFmtId="177" fontId="6" fillId="0" borderId="0" xfId="4" applyNumberFormat="1" applyFont="1" applyAlignment="1">
      <alignment vertical="center"/>
    </xf>
    <xf numFmtId="0" fontId="48" fillId="0" borderId="0" xfId="5" applyFont="1" applyAlignment="1">
      <alignment vertical="center"/>
    </xf>
    <xf numFmtId="0" fontId="46" fillId="0" borderId="0" xfId="4" applyFont="1" applyAlignment="1">
      <alignment horizontal="right" vertical="center"/>
    </xf>
    <xf numFmtId="0" fontId="48" fillId="0" borderId="0" xfId="4" applyFont="1" applyAlignment="1">
      <alignment horizontal="center" vertical="center"/>
    </xf>
    <xf numFmtId="0" fontId="45" fillId="0" borderId="0" xfId="4" applyFont="1" applyAlignment="1">
      <alignment vertical="center"/>
    </xf>
    <xf numFmtId="0" fontId="8" fillId="0" borderId="0" xfId="80" applyFont="1" applyAlignment="1">
      <alignment vertical="center"/>
    </xf>
    <xf numFmtId="20" fontId="8" fillId="0" borderId="0" xfId="80" applyNumberFormat="1" applyFont="1" applyAlignment="1">
      <alignment horizontal="center" vertical="center"/>
    </xf>
    <xf numFmtId="0" fontId="6" fillId="0" borderId="0" xfId="80" applyFont="1" applyAlignment="1">
      <alignment vertical="center"/>
    </xf>
    <xf numFmtId="0" fontId="10" fillId="0" borderId="0" xfId="80" applyFont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3" fontId="11" fillId="0" borderId="0" xfId="80" applyNumberFormat="1" applyFont="1" applyAlignment="1">
      <alignment horizontal="center" vertical="center"/>
    </xf>
    <xf numFmtId="3" fontId="10" fillId="0" borderId="7" xfId="2" quotePrefix="1" applyNumberFormat="1" applyFont="1" applyFill="1" applyBorder="1" applyAlignment="1" applyProtection="1">
      <alignment horizontal="center" vertical="center" wrapText="1"/>
    </xf>
    <xf numFmtId="0" fontId="6" fillId="0" borderId="13" xfId="80" applyFont="1" applyBorder="1" applyAlignment="1">
      <alignment horizontal="center" vertical="center" wrapText="1"/>
    </xf>
    <xf numFmtId="0" fontId="6" fillId="0" borderId="0" xfId="80" applyFont="1" applyAlignment="1">
      <alignment horizontal="center" vertical="center" wrapText="1"/>
    </xf>
    <xf numFmtId="174" fontId="6" fillId="0" borderId="9" xfId="118" applyFont="1" applyBorder="1" applyAlignment="1">
      <alignment horizontal="left" vertical="center"/>
    </xf>
    <xf numFmtId="166" fontId="10" fillId="0" borderId="9" xfId="80" applyNumberFormat="1" applyFont="1" applyBorder="1" applyAlignment="1">
      <alignment horizontal="right" vertical="center" wrapText="1"/>
    </xf>
    <xf numFmtId="166" fontId="10" fillId="0" borderId="0" xfId="80" applyNumberFormat="1" applyFont="1" applyAlignment="1">
      <alignment horizontal="right" vertical="center" wrapText="1"/>
    </xf>
    <xf numFmtId="3" fontId="10" fillId="0" borderId="11" xfId="1" applyNumberFormat="1" applyFont="1" applyBorder="1" applyAlignment="1" applyProtection="1">
      <alignment horizontal="right" vertical="center" wrapText="1"/>
    </xf>
    <xf numFmtId="175" fontId="10" fillId="0" borderId="11" xfId="1" applyNumberFormat="1" applyFont="1" applyBorder="1" applyAlignment="1" applyProtection="1">
      <alignment horizontal="right" vertical="center" wrapText="1"/>
    </xf>
    <xf numFmtId="10" fontId="10" fillId="0" borderId="12" xfId="3" applyNumberFormat="1" applyFont="1" applyFill="1" applyBorder="1" applyAlignment="1" applyProtection="1">
      <alignment horizontal="right" vertical="center" wrapText="1"/>
    </xf>
    <xf numFmtId="43" fontId="11" fillId="0" borderId="13" xfId="1" applyFont="1" applyBorder="1" applyAlignment="1" applyProtection="1">
      <alignment horizontal="center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3" fontId="15" fillId="0" borderId="15" xfId="1" applyNumberFormat="1" applyFont="1" applyFill="1" applyBorder="1" applyAlignment="1" applyProtection="1">
      <alignment horizontal="right" vertical="center"/>
    </xf>
    <xf numFmtId="3" fontId="15" fillId="0" borderId="15" xfId="1" applyNumberFormat="1" applyFont="1" applyBorder="1" applyAlignment="1" applyProtection="1">
      <alignment horizontal="right" vertical="center"/>
    </xf>
    <xf numFmtId="175" fontId="15" fillId="0" borderId="15" xfId="1" applyNumberFormat="1" applyFont="1" applyBorder="1" applyAlignment="1" applyProtection="1">
      <alignment horizontal="right" vertical="center"/>
    </xf>
    <xf numFmtId="10" fontId="15" fillId="0" borderId="16" xfId="3" applyNumberFormat="1" applyFont="1" applyFill="1" applyBorder="1" applyAlignment="1" applyProtection="1">
      <alignment horizontal="right" vertical="center"/>
    </xf>
    <xf numFmtId="0" fontId="11" fillId="0" borderId="0" xfId="80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175" fontId="11" fillId="0" borderId="15" xfId="1" applyNumberFormat="1" applyFont="1" applyBorder="1" applyAlignment="1" applyProtection="1">
      <alignment horizontal="right" vertical="center"/>
    </xf>
    <xf numFmtId="164" fontId="11" fillId="0" borderId="0" xfId="80" applyNumberFormat="1" applyFont="1" applyAlignment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horizontal="left" vertical="center"/>
    </xf>
    <xf numFmtId="43" fontId="10" fillId="0" borderId="0" xfId="1" applyFont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10" fontId="13" fillId="0" borderId="16" xfId="3" applyNumberFormat="1" applyFont="1" applyFill="1" applyBorder="1" applyAlignment="1" applyProtection="1">
      <alignment horizontal="right" vertical="center"/>
    </xf>
    <xf numFmtId="0" fontId="10" fillId="0" borderId="0" xfId="80" applyFont="1" applyAlignment="1">
      <alignment vertical="center"/>
    </xf>
    <xf numFmtId="43" fontId="10" fillId="0" borderId="13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3" fontId="10" fillId="0" borderId="15" xfId="1" applyNumberFormat="1" applyFont="1" applyFill="1" applyBorder="1" applyAlignment="1" applyProtection="1">
      <alignment horizontal="right" vertical="center"/>
    </xf>
    <xf numFmtId="166" fontId="10" fillId="0" borderId="0" xfId="80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166" fontId="11" fillId="0" borderId="0" xfId="80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43" fontId="15" fillId="0" borderId="13" xfId="1" applyFont="1" applyBorder="1" applyAlignment="1" applyProtection="1">
      <alignment horizontal="center" vertical="center"/>
    </xf>
    <xf numFmtId="43" fontId="15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left" vertical="center"/>
    </xf>
    <xf numFmtId="43" fontId="13" fillId="0" borderId="0" xfId="1" applyFont="1" applyBorder="1" applyAlignment="1">
      <alignment vertical="center"/>
    </xf>
    <xf numFmtId="43" fontId="13" fillId="0" borderId="0" xfId="1" applyFont="1" applyBorder="1" applyAlignment="1" applyProtection="1">
      <alignment horizontal="right" vertical="center"/>
    </xf>
    <xf numFmtId="0" fontId="13" fillId="0" borderId="0" xfId="80" applyFont="1" applyAlignment="1">
      <alignment vertical="center"/>
    </xf>
    <xf numFmtId="166" fontId="13" fillId="0" borderId="0" xfId="80" applyNumberFormat="1" applyFont="1" applyAlignment="1">
      <alignment vertical="center"/>
    </xf>
    <xf numFmtId="43" fontId="10" fillId="0" borderId="0" xfId="1" applyFont="1" applyBorder="1" applyAlignment="1" applyProtection="1">
      <alignment horizontal="left" vertical="center"/>
    </xf>
    <xf numFmtId="43" fontId="10" fillId="0" borderId="14" xfId="1" applyFont="1" applyFill="1" applyBorder="1" applyAlignment="1">
      <alignment vertical="center"/>
    </xf>
    <xf numFmtId="43" fontId="13" fillId="0" borderId="3" xfId="1" applyFont="1" applyBorder="1" applyAlignment="1" applyProtection="1">
      <alignment horizontal="center" vertical="center"/>
    </xf>
    <xf numFmtId="43" fontId="10" fillId="0" borderId="0" xfId="1" quotePrefix="1" applyFont="1" applyFill="1" applyBorder="1" applyAlignment="1" applyProtection="1">
      <alignment horizontal="left" vertical="center"/>
    </xf>
    <xf numFmtId="43" fontId="10" fillId="0" borderId="15" xfId="1" applyFont="1" applyBorder="1" applyAlignment="1" applyProtection="1">
      <alignment horizontal="right" vertical="center"/>
    </xf>
    <xf numFmtId="43" fontId="13" fillId="0" borderId="14" xfId="1" quotePrefix="1" applyFont="1" applyFill="1" applyBorder="1" applyAlignment="1" applyProtection="1">
      <alignment horizontal="left" vertical="center"/>
    </xf>
    <xf numFmtId="3" fontId="10" fillId="0" borderId="37" xfId="1" applyNumberFormat="1" applyFont="1" applyFill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horizontal="right" vertical="center"/>
    </xf>
    <xf numFmtId="43" fontId="10" fillId="0" borderId="45" xfId="1" applyFont="1" applyBorder="1" applyAlignment="1" applyProtection="1">
      <alignment horizontal="right" vertical="center"/>
    </xf>
    <xf numFmtId="3" fontId="11" fillId="2" borderId="3" xfId="1" applyNumberFormat="1" applyFont="1" applyFill="1" applyBorder="1" applyAlignment="1" applyProtection="1">
      <alignment horizontal="right" vertical="center"/>
    </xf>
    <xf numFmtId="3" fontId="15" fillId="2" borderId="3" xfId="1" applyNumberFormat="1" applyFont="1" applyFill="1" applyBorder="1" applyAlignment="1" applyProtection="1">
      <alignment horizontal="right" vertical="center"/>
    </xf>
    <xf numFmtId="175" fontId="11" fillId="2" borderId="3" xfId="1" applyNumberFormat="1" applyFont="1" applyFill="1" applyBorder="1" applyAlignment="1" applyProtection="1">
      <alignment horizontal="right" vertical="center"/>
    </xf>
    <xf numFmtId="3" fontId="11" fillId="0" borderId="11" xfId="1" applyNumberFormat="1" applyFont="1" applyBorder="1" applyAlignment="1" applyProtection="1">
      <alignment horizontal="right" vertical="center"/>
    </xf>
    <xf numFmtId="175" fontId="11" fillId="0" borderId="11" xfId="1" applyNumberFormat="1" applyFont="1" applyBorder="1" applyAlignment="1" applyProtection="1">
      <alignment horizontal="right" vertical="center"/>
    </xf>
    <xf numFmtId="10" fontId="11" fillId="0" borderId="12" xfId="3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vertical="center"/>
    </xf>
    <xf numFmtId="43" fontId="11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5" fillId="0" borderId="14" xfId="1" applyFont="1" applyFill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Fill="1" applyBorder="1" applyAlignment="1">
      <alignment vertical="center"/>
    </xf>
    <xf numFmtId="181" fontId="10" fillId="0" borderId="105" xfId="1" applyNumberFormat="1" applyFont="1" applyFill="1" applyBorder="1" applyAlignment="1" applyProtection="1">
      <alignment vertical="center"/>
    </xf>
    <xf numFmtId="43" fontId="13" fillId="0" borderId="0" xfId="1" applyFont="1" applyBorder="1" applyAlignment="1" applyProtection="1">
      <alignment vertical="center"/>
    </xf>
    <xf numFmtId="181" fontId="10" fillId="0" borderId="105" xfId="1" applyNumberFormat="1" applyFont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/>
    </xf>
    <xf numFmtId="43" fontId="13" fillId="0" borderId="0" xfId="1" applyFont="1" applyFill="1" applyBorder="1" applyAlignment="1" applyProtection="1">
      <alignment vertical="center" wrapText="1"/>
    </xf>
    <xf numFmtId="181" fontId="10" fillId="0" borderId="15" xfId="1" applyNumberFormat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vertical="center" wrapText="1"/>
    </xf>
    <xf numFmtId="3" fontId="10" fillId="0" borderId="15" xfId="1" applyNumberFormat="1" applyFont="1" applyBorder="1" applyAlignment="1" applyProtection="1">
      <alignment horizontal="right" vertical="center"/>
    </xf>
    <xf numFmtId="181" fontId="10" fillId="0" borderId="47" xfId="1" applyNumberFormat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>
      <alignment horizontal="right" vertical="center"/>
    </xf>
    <xf numFmtId="3" fontId="11" fillId="0" borderId="15" xfId="1" applyNumberFormat="1" applyFont="1" applyBorder="1" applyAlignment="1">
      <alignment horizontal="right" vertical="center"/>
    </xf>
    <xf numFmtId="43" fontId="81" fillId="0" borderId="0" xfId="1" applyFont="1" applyBorder="1" applyAlignment="1" applyProtection="1">
      <alignment vertical="center"/>
    </xf>
    <xf numFmtId="43" fontId="11" fillId="0" borderId="9" xfId="1" applyFont="1" applyBorder="1" applyAlignment="1" applyProtection="1">
      <alignment vertical="center"/>
    </xf>
    <xf numFmtId="43" fontId="11" fillId="0" borderId="14" xfId="1" applyFont="1" applyBorder="1" applyAlignment="1" applyProtection="1">
      <alignment vertical="center"/>
    </xf>
    <xf numFmtId="3" fontId="11" fillId="0" borderId="14" xfId="1" applyNumberFormat="1" applyFont="1" applyBorder="1" applyAlignment="1" applyProtection="1">
      <alignment vertical="center"/>
    </xf>
    <xf numFmtId="43" fontId="11" fillId="0" borderId="45" xfId="1" applyFont="1" applyBorder="1" applyAlignment="1" applyProtection="1">
      <alignment vertical="center"/>
    </xf>
    <xf numFmtId="43" fontId="11" fillId="0" borderId="13" xfId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5" fontId="10" fillId="0" borderId="15" xfId="1" applyNumberFormat="1" applyFont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75" fontId="11" fillId="2" borderId="21" xfId="1" applyNumberFormat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vertical="center"/>
    </xf>
    <xf numFmtId="3" fontId="11" fillId="2" borderId="43" xfId="1" applyNumberFormat="1" applyFont="1" applyFill="1" applyBorder="1" applyAlignment="1" applyProtection="1">
      <alignment horizontal="right" vertical="center"/>
    </xf>
    <xf numFmtId="175" fontId="11" fillId="2" borderId="43" xfId="1" applyNumberFormat="1" applyFont="1" applyFill="1" applyBorder="1" applyAlignment="1" applyProtection="1">
      <alignment horizontal="right" vertical="center"/>
    </xf>
    <xf numFmtId="10" fontId="11" fillId="4" borderId="67" xfId="3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Fill="1" applyBorder="1" applyAlignment="1" applyProtection="1">
      <alignment horizontal="lef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right" vertical="center"/>
    </xf>
    <xf numFmtId="3" fontId="10" fillId="0" borderId="0" xfId="80" applyNumberFormat="1" applyFont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11" fillId="0" borderId="13" xfId="1" applyFont="1" applyBorder="1" applyAlignment="1" applyProtection="1">
      <alignment horizontal="center" vertical="center" wrapText="1"/>
    </xf>
    <xf numFmtId="43" fontId="11" fillId="0" borderId="0" xfId="1" applyFont="1" applyBorder="1" applyAlignment="1" applyProtection="1">
      <alignment horizontal="center" vertical="center" wrapText="1"/>
    </xf>
    <xf numFmtId="43" fontId="11" fillId="0" borderId="0" xfId="1" applyFont="1" applyFill="1" applyBorder="1" applyAlignment="1">
      <alignment horizontal="left" vertical="center"/>
    </xf>
    <xf numFmtId="43" fontId="10" fillId="0" borderId="9" xfId="1" applyFont="1" applyBorder="1" applyAlignment="1" applyProtection="1">
      <alignment horizontal="right" vertical="center" wrapText="1"/>
    </xf>
    <xf numFmtId="43" fontId="10" fillId="0" borderId="14" xfId="1" applyFont="1" applyBorder="1" applyAlignment="1" applyProtection="1">
      <alignment horizontal="right" vertical="center" wrapText="1"/>
    </xf>
    <xf numFmtId="3" fontId="10" fillId="0" borderId="14" xfId="1" applyNumberFormat="1" applyFont="1" applyBorder="1" applyAlignment="1" applyProtection="1">
      <alignment horizontal="right" vertical="center" wrapText="1"/>
    </xf>
    <xf numFmtId="3" fontId="10" fillId="0" borderId="15" xfId="1" applyNumberFormat="1" applyFont="1" applyBorder="1" applyAlignment="1" applyProtection="1">
      <alignment horizontal="right" vertical="center" wrapText="1"/>
    </xf>
    <xf numFmtId="43" fontId="10" fillId="0" borderId="15" xfId="1" applyFont="1" applyBorder="1" applyAlignment="1" applyProtection="1">
      <alignment horizontal="right" vertical="center" wrapText="1"/>
    </xf>
    <xf numFmtId="3" fontId="10" fillId="0" borderId="16" xfId="80" applyNumberFormat="1" applyFont="1" applyBorder="1" applyAlignment="1">
      <alignment horizontal="right" vertical="center" wrapText="1"/>
    </xf>
    <xf numFmtId="3" fontId="11" fillId="0" borderId="14" xfId="1" applyNumberFormat="1" applyFont="1" applyBorder="1" applyAlignment="1" applyProtection="1">
      <alignment horizontal="right" vertical="center"/>
    </xf>
    <xf numFmtId="3" fontId="11" fillId="0" borderId="16" xfId="80" applyNumberFormat="1" applyFont="1" applyBorder="1" applyAlignment="1">
      <alignment horizontal="right" vertical="center"/>
    </xf>
    <xf numFmtId="43" fontId="11" fillId="0" borderId="0" xfId="80" applyNumberFormat="1" applyFont="1" applyAlignment="1">
      <alignment vertical="center"/>
    </xf>
    <xf numFmtId="43" fontId="11" fillId="0" borderId="0" xfId="1" applyFont="1" applyBorder="1" applyAlignment="1" applyProtection="1">
      <alignment horizontal="left" vertical="center"/>
    </xf>
    <xf numFmtId="43" fontId="15" fillId="0" borderId="0" xfId="1" applyFont="1" applyFill="1" applyBorder="1" applyAlignment="1" applyProtection="1">
      <alignment horizontal="left" vertical="center"/>
    </xf>
    <xf numFmtId="2" fontId="13" fillId="0" borderId="16" xfId="3" applyNumberFormat="1" applyFont="1" applyFill="1" applyBorder="1" applyAlignment="1" applyProtection="1">
      <alignment horizontal="right" vertical="center"/>
    </xf>
    <xf numFmtId="175" fontId="11" fillId="4" borderId="3" xfId="1" applyNumberFormat="1" applyFont="1" applyFill="1" applyBorder="1" applyAlignment="1" applyProtection="1">
      <alignment horizontal="right" vertical="center"/>
    </xf>
    <xf numFmtId="43" fontId="11" fillId="0" borderId="13" xfId="1" applyFont="1" applyBorder="1" applyAlignment="1" applyProtection="1">
      <alignment horizontal="lef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45" xfId="1" applyFont="1" applyBorder="1" applyAlignment="1" applyProtection="1">
      <alignment horizontal="right" vertical="center"/>
    </xf>
    <xf numFmtId="43" fontId="11" fillId="0" borderId="13" xfId="1" quotePrefix="1" applyFont="1" applyBorder="1" applyAlignment="1" applyProtection="1">
      <alignment horizontal="left" vertical="center"/>
    </xf>
    <xf numFmtId="43" fontId="11" fillId="0" borderId="0" xfId="1" quotePrefix="1" applyFont="1" applyBorder="1" applyAlignment="1" applyProtection="1">
      <alignment horizontal="center" vertical="center"/>
    </xf>
    <xf numFmtId="3" fontId="11" fillId="0" borderId="11" xfId="1" applyNumberFormat="1" applyFont="1" applyBorder="1" applyAlignment="1">
      <alignment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7" xfId="1" applyFont="1" applyBorder="1" applyAlignment="1" applyProtection="1">
      <alignment horizontal="center" vertical="center"/>
    </xf>
    <xf numFmtId="3" fontId="15" fillId="0" borderId="14" xfId="1" applyNumberFormat="1" applyFont="1" applyBorder="1" applyAlignment="1" applyProtection="1">
      <alignment horizontal="center" vertical="center"/>
    </xf>
    <xf numFmtId="43" fontId="11" fillId="0" borderId="14" xfId="1" applyFont="1" applyFill="1" applyBorder="1" applyAlignment="1">
      <alignment horizontal="left" vertical="center"/>
    </xf>
    <xf numFmtId="175" fontId="11" fillId="0" borderId="15" xfId="1" applyNumberFormat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175" fontId="10" fillId="0" borderId="15" xfId="1" applyNumberFormat="1" applyFont="1" applyFill="1" applyBorder="1" applyAlignment="1" applyProtection="1">
      <alignment horizontal="right" vertical="center"/>
    </xf>
    <xf numFmtId="43" fontId="10" fillId="0" borderId="14" xfId="1" applyFont="1" applyBorder="1" applyAlignment="1">
      <alignment horizontal="right" vertical="center"/>
    </xf>
    <xf numFmtId="43" fontId="15" fillId="0" borderId="14" xfId="1" applyFont="1" applyFill="1" applyBorder="1" applyAlignment="1" applyProtection="1">
      <alignment horizontal="left" vertical="center"/>
    </xf>
    <xf numFmtId="43" fontId="11" fillId="0" borderId="13" xfId="1" applyFont="1" applyBorder="1" applyAlignment="1">
      <alignment horizontal="center" vertical="center"/>
    </xf>
    <xf numFmtId="43" fontId="11" fillId="0" borderId="0" xfId="1" applyFont="1" applyBorder="1" applyAlignment="1">
      <alignment horizontal="left" vertical="center"/>
    </xf>
    <xf numFmtId="175" fontId="11" fillId="0" borderId="37" xfId="1" applyNumberFormat="1" applyFont="1" applyFill="1" applyBorder="1" applyAlignment="1" applyProtection="1">
      <alignment horizontal="right" vertical="center"/>
    </xf>
    <xf numFmtId="43" fontId="11" fillId="0" borderId="37" xfId="1" applyFont="1" applyBorder="1" applyAlignment="1" applyProtection="1">
      <alignment horizontal="right" vertical="center"/>
    </xf>
    <xf numFmtId="175" fontId="11" fillId="4" borderId="21" xfId="1" applyNumberFormat="1" applyFont="1" applyFill="1" applyBorder="1" applyAlignment="1" applyProtection="1">
      <alignment horizontal="right" vertical="center"/>
    </xf>
    <xf numFmtId="0" fontId="10" fillId="0" borderId="0" xfId="80" applyFont="1" applyAlignment="1">
      <alignment horizontal="center" vertical="center"/>
    </xf>
    <xf numFmtId="3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80" applyNumberFormat="1" applyFont="1" applyAlignment="1">
      <alignment vertical="center"/>
    </xf>
    <xf numFmtId="0" fontId="82" fillId="0" borderId="0" xfId="80" applyFont="1" applyAlignment="1">
      <alignment vertical="center"/>
    </xf>
    <xf numFmtId="0" fontId="8" fillId="0" borderId="0" xfId="80" applyFont="1" applyAlignment="1">
      <alignment horizontal="center" vertical="center"/>
    </xf>
    <xf numFmtId="43" fontId="8" fillId="0" borderId="0" xfId="4" applyNumberFormat="1" applyFont="1" applyAlignment="1">
      <alignment vertical="center"/>
    </xf>
    <xf numFmtId="43" fontId="61" fillId="14" borderId="107" xfId="1" applyFont="1" applyFill="1" applyBorder="1" applyAlignment="1">
      <alignment horizontal="center" vertical="center"/>
    </xf>
    <xf numFmtId="0" fontId="62" fillId="0" borderId="0" xfId="80" applyFont="1"/>
    <xf numFmtId="0" fontId="7" fillId="0" borderId="0" xfId="80"/>
    <xf numFmtId="0" fontId="85" fillId="5" borderId="108" xfId="131" applyFont="1" applyFill="1" applyBorder="1" applyAlignment="1">
      <alignment horizontal="right" vertical="center"/>
    </xf>
    <xf numFmtId="43" fontId="86" fillId="0" borderId="108" xfId="1" applyFont="1" applyFill="1" applyBorder="1" applyAlignment="1">
      <alignment horizontal="right" vertical="center"/>
    </xf>
    <xf numFmtId="43" fontId="87" fillId="0" borderId="108" xfId="1" applyFont="1" applyFill="1" applyBorder="1" applyAlignment="1">
      <alignment horizontal="right" vertical="center"/>
    </xf>
    <xf numFmtId="0" fontId="87" fillId="42" borderId="108" xfId="131" applyFont="1" applyFill="1" applyBorder="1" applyAlignment="1">
      <alignment vertical="center"/>
    </xf>
    <xf numFmtId="0" fontId="87" fillId="42" borderId="108" xfId="131" applyFont="1" applyFill="1" applyBorder="1" applyAlignment="1">
      <alignment horizontal="center" vertical="center"/>
    </xf>
    <xf numFmtId="43" fontId="88" fillId="42" borderId="108" xfId="1" applyFont="1" applyFill="1" applyBorder="1" applyAlignment="1">
      <alignment horizontal="right" vertical="center"/>
    </xf>
    <xf numFmtId="43" fontId="89" fillId="42" borderId="108" xfId="1" applyFont="1" applyFill="1" applyBorder="1" applyAlignment="1">
      <alignment horizontal="right" vertical="center"/>
    </xf>
    <xf numFmtId="0" fontId="87" fillId="0" borderId="108" xfId="131" applyFont="1" applyBorder="1" applyAlignment="1">
      <alignment vertical="center"/>
    </xf>
    <xf numFmtId="175" fontId="87" fillId="0" borderId="108" xfId="1" applyNumberFormat="1" applyFont="1" applyFill="1" applyBorder="1" applyAlignment="1">
      <alignment horizontal="right" vertical="center"/>
    </xf>
    <xf numFmtId="43" fontId="87" fillId="0" borderId="108" xfId="1" applyFont="1" applyBorder="1" applyAlignment="1">
      <alignment horizontal="right" vertical="center"/>
    </xf>
    <xf numFmtId="0" fontId="68" fillId="7" borderId="108" xfId="131" applyFont="1" applyFill="1" applyBorder="1" applyAlignment="1">
      <alignment horizontal="left" vertical="center"/>
    </xf>
    <xf numFmtId="43" fontId="63" fillId="0" borderId="108" xfId="1" applyFont="1" applyBorder="1" applyAlignment="1">
      <alignment vertical="center"/>
    </xf>
    <xf numFmtId="43" fontId="7" fillId="0" borderId="108" xfId="1" applyFont="1" applyBorder="1" applyAlignment="1">
      <alignment vertical="center"/>
    </xf>
    <xf numFmtId="0" fontId="85" fillId="0" borderId="108" xfId="131" applyFont="1" applyBorder="1" applyAlignment="1">
      <alignment vertical="center"/>
    </xf>
    <xf numFmtId="0" fontId="85" fillId="0" borderId="108" xfId="131" applyFont="1" applyBorder="1" applyAlignment="1">
      <alignment horizontal="left" vertical="center"/>
    </xf>
    <xf numFmtId="43" fontId="85" fillId="0" borderId="108" xfId="1" applyFont="1" applyFill="1" applyBorder="1" applyAlignment="1">
      <alignment horizontal="right" vertical="center"/>
    </xf>
    <xf numFmtId="37" fontId="87" fillId="42" borderId="108" xfId="132" applyNumberFormat="1" applyFont="1" applyFill="1" applyBorder="1" applyAlignment="1">
      <alignment horizontal="center" vertical="center"/>
    </xf>
    <xf numFmtId="43" fontId="87" fillId="42" borderId="108" xfId="1" applyFont="1" applyFill="1" applyBorder="1" applyAlignment="1">
      <alignment horizontal="right" vertical="center"/>
    </xf>
    <xf numFmtId="3" fontId="62" fillId="0" borderId="0" xfId="80" applyNumberFormat="1" applyFont="1"/>
    <xf numFmtId="43" fontId="85" fillId="43" borderId="108" xfId="1" applyFont="1" applyFill="1" applyBorder="1" applyAlignment="1">
      <alignment horizontal="right" vertical="center"/>
    </xf>
    <xf numFmtId="4" fontId="7" fillId="0" borderId="0" xfId="80" applyNumberFormat="1"/>
    <xf numFmtId="43" fontId="85" fillId="0" borderId="108" xfId="1" applyFont="1" applyBorder="1" applyAlignment="1">
      <alignment horizontal="right" vertical="center"/>
    </xf>
    <xf numFmtId="3" fontId="7" fillId="0" borderId="0" xfId="80" applyNumberFormat="1"/>
    <xf numFmtId="0" fontId="91" fillId="0" borderId="108" xfId="131" applyFont="1" applyBorder="1" applyAlignment="1">
      <alignment vertical="center"/>
    </xf>
    <xf numFmtId="164" fontId="7" fillId="0" borderId="0" xfId="80" applyNumberFormat="1"/>
    <xf numFmtId="0" fontId="92" fillId="14" borderId="108" xfId="131" applyFont="1" applyFill="1" applyBorder="1" applyAlignment="1">
      <alignment vertical="center"/>
    </xf>
    <xf numFmtId="43" fontId="87" fillId="14" borderId="108" xfId="1" applyFont="1" applyFill="1" applyBorder="1" applyAlignment="1">
      <alignment horizontal="right" vertical="center"/>
    </xf>
    <xf numFmtId="0" fontId="93" fillId="0" borderId="108" xfId="131" applyFont="1" applyBorder="1" applyAlignment="1">
      <alignment vertical="center"/>
    </xf>
    <xf numFmtId="43" fontId="94" fillId="0" borderId="108" xfId="1" applyFont="1" applyBorder="1" applyAlignment="1">
      <alignment vertical="center"/>
    </xf>
    <xf numFmtId="43" fontId="93" fillId="0" borderId="108" xfId="1" applyFont="1" applyBorder="1" applyAlignment="1">
      <alignment vertical="center"/>
    </xf>
    <xf numFmtId="0" fontId="91" fillId="0" borderId="108" xfId="131" applyFont="1" applyBorder="1" applyAlignment="1">
      <alignment horizontal="left" vertical="center" wrapText="1"/>
    </xf>
    <xf numFmtId="0" fontId="91" fillId="0" borderId="108" xfId="131" applyFont="1" applyBorder="1" applyAlignment="1">
      <alignment horizontal="left" vertical="center"/>
    </xf>
    <xf numFmtId="0" fontId="7" fillId="0" borderId="0" xfId="80" applyAlignment="1">
      <alignment horizontal="right"/>
    </xf>
    <xf numFmtId="0" fontId="62" fillId="0" borderId="0" xfId="80" quotePrefix="1" applyFont="1"/>
    <xf numFmtId="0" fontId="87" fillId="0" borderId="108" xfId="131" applyFont="1" applyBorder="1" applyAlignment="1">
      <alignment horizontal="left" vertical="center"/>
    </xf>
    <xf numFmtId="43" fontId="87" fillId="43" borderId="108" xfId="1" applyFont="1" applyFill="1" applyBorder="1" applyAlignment="1">
      <alignment horizontal="right" vertical="center"/>
    </xf>
    <xf numFmtId="0" fontId="87" fillId="0" borderId="108" xfId="131" applyFont="1" applyBorder="1" applyAlignment="1">
      <alignment vertical="center" wrapText="1"/>
    </xf>
    <xf numFmtId="43" fontId="95" fillId="0" borderId="108" xfId="1" applyFont="1" applyBorder="1" applyAlignment="1">
      <alignment horizontal="right" vertical="center"/>
    </xf>
    <xf numFmtId="0" fontId="89" fillId="0" borderId="108" xfId="131" applyFont="1" applyBorder="1" applyAlignment="1">
      <alignment horizontal="center" vertical="center"/>
    </xf>
    <xf numFmtId="43" fontId="89" fillId="0" borderId="108" xfId="1" applyFont="1" applyFill="1" applyBorder="1" applyAlignment="1">
      <alignment horizontal="right" vertical="center"/>
    </xf>
    <xf numFmtId="0" fontId="85" fillId="0" borderId="108" xfId="131" applyFont="1" applyBorder="1" applyAlignment="1">
      <alignment horizontal="center" vertical="center"/>
    </xf>
    <xf numFmtId="0" fontId="87" fillId="0" borderId="109" xfId="131" applyFont="1" applyBorder="1" applyAlignment="1">
      <alignment horizontal="left" vertical="center"/>
    </xf>
    <xf numFmtId="0" fontId="87" fillId="0" borderId="109" xfId="131" applyFont="1" applyBorder="1" applyAlignment="1">
      <alignment horizontal="center" vertical="center"/>
    </xf>
    <xf numFmtId="177" fontId="87" fillId="0" borderId="109" xfId="1" applyNumberFormat="1" applyFont="1" applyFill="1" applyBorder="1" applyAlignment="1">
      <alignment horizontal="right" vertical="center"/>
    </xf>
    <xf numFmtId="43" fontId="63" fillId="0" borderId="0" xfId="1" applyFont="1"/>
    <xf numFmtId="43" fontId="7" fillId="0" borderId="0" xfId="1" applyFont="1"/>
    <xf numFmtId="0" fontId="11" fillId="0" borderId="6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68" fillId="0" borderId="0" xfId="0" applyFont="1"/>
    <xf numFmtId="175" fontId="10" fillId="0" borderId="0" xfId="80" applyNumberFormat="1" applyFont="1" applyAlignment="1">
      <alignment vertical="center"/>
    </xf>
    <xf numFmtId="164" fontId="8" fillId="0" borderId="0" xfId="4" applyNumberFormat="1" applyFont="1" applyAlignment="1">
      <alignment vertical="center"/>
    </xf>
    <xf numFmtId="4" fontId="70" fillId="0" borderId="0" xfId="4" applyNumberFormat="1" applyFont="1" applyAlignment="1">
      <alignment vertical="center"/>
    </xf>
    <xf numFmtId="164" fontId="62" fillId="0" borderId="0" xfId="80" applyNumberFormat="1" applyFont="1"/>
    <xf numFmtId="175" fontId="11" fillId="0" borderId="0" xfId="80" applyNumberFormat="1" applyFont="1" applyAlignment="1">
      <alignment vertical="center"/>
    </xf>
    <xf numFmtId="3" fontId="62" fillId="40" borderId="0" xfId="80" applyNumberFormat="1" applyFont="1" applyFill="1"/>
    <xf numFmtId="43" fontId="62" fillId="0" borderId="0" xfId="80" applyNumberFormat="1" applyFont="1"/>
    <xf numFmtId="43" fontId="62" fillId="0" borderId="0" xfId="1" applyFont="1"/>
    <xf numFmtId="175" fontId="62" fillId="0" borderId="0" xfId="80" applyNumberFormat="1" applyFont="1"/>
    <xf numFmtId="43" fontId="7" fillId="0" borderId="0" xfId="80" applyNumberFormat="1"/>
    <xf numFmtId="181" fontId="11" fillId="0" borderId="15" xfId="1" applyNumberFormat="1" applyFont="1" applyFill="1" applyBorder="1" applyAlignment="1" applyProtection="1">
      <alignment horizontal="right" vertical="center"/>
    </xf>
    <xf numFmtId="181" fontId="10" fillId="0" borderId="15" xfId="1" applyNumberFormat="1" applyFont="1" applyFill="1" applyBorder="1" applyAlignment="1" applyProtection="1">
      <alignment horizontal="right" vertical="center"/>
    </xf>
    <xf numFmtId="164" fontId="10" fillId="0" borderId="0" xfId="80" applyNumberFormat="1" applyFont="1" applyAlignment="1">
      <alignment vertical="center"/>
    </xf>
    <xf numFmtId="3" fontId="11" fillId="0" borderId="0" xfId="80" applyNumberFormat="1" applyFont="1" applyAlignment="1">
      <alignment vertical="center"/>
    </xf>
    <xf numFmtId="177" fontId="8" fillId="4" borderId="38" xfId="1" applyNumberFormat="1" applyFont="1" applyFill="1" applyBorder="1" applyAlignment="1" applyProtection="1">
      <alignment horizontal="right" vertical="center"/>
    </xf>
    <xf numFmtId="177" fontId="8" fillId="4" borderId="39" xfId="1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10" fillId="0" borderId="3" xfId="2" quotePrefix="1" applyNumberFormat="1" applyFont="1" applyFill="1" applyBorder="1" applyAlignment="1" applyProtection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166" fontId="10" fillId="0" borderId="4" xfId="2" quotePrefix="1" applyNumberFormat="1" applyFont="1" applyFill="1" applyBorder="1" applyAlignment="1" applyProtection="1">
      <alignment horizontal="center" vertical="center" wrapText="1"/>
    </xf>
    <xf numFmtId="166" fontId="10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4" xfId="1" quotePrefix="1" applyNumberFormat="1" applyFont="1" applyFill="1" applyBorder="1" applyAlignment="1" applyProtection="1">
      <alignment horizontal="center" vertical="center" wrapText="1"/>
    </xf>
    <xf numFmtId="175" fontId="10" fillId="0" borderId="3" xfId="1" quotePrefix="1" applyNumberFormat="1" applyFont="1" applyFill="1" applyBorder="1" applyAlignment="1" applyProtection="1">
      <alignment horizontal="center" vertical="center" wrapText="1"/>
    </xf>
    <xf numFmtId="0" fontId="6" fillId="36" borderId="34" xfId="5" applyFont="1" applyFill="1" applyBorder="1" applyAlignment="1">
      <alignment horizontal="center" vertical="center" wrapText="1"/>
    </xf>
    <xf numFmtId="0" fontId="6" fillId="36" borderId="33" xfId="5" applyFont="1" applyFill="1" applyBorder="1" applyAlignment="1">
      <alignment horizontal="center" vertical="center" wrapText="1"/>
    </xf>
    <xf numFmtId="0" fontId="6" fillId="36" borderId="35" xfId="5" applyFont="1" applyFill="1" applyBorder="1" applyAlignment="1">
      <alignment horizontal="center" vertical="center" wrapText="1"/>
    </xf>
    <xf numFmtId="43" fontId="11" fillId="2" borderId="18" xfId="1" applyFont="1" applyFill="1" applyBorder="1" applyAlignment="1" applyProtection="1">
      <alignment horizontal="left" vertical="center"/>
    </xf>
    <xf numFmtId="43" fontId="11" fillId="2" borderId="19" xfId="1" applyFont="1" applyFill="1" applyBorder="1" applyAlignment="1" applyProtection="1">
      <alignment horizontal="left" vertical="center"/>
    </xf>
    <xf numFmtId="43" fontId="11" fillId="2" borderId="27" xfId="1" applyFont="1" applyFill="1" applyBorder="1" applyAlignment="1" applyProtection="1">
      <alignment horizontal="left" vertical="center"/>
    </xf>
    <xf numFmtId="43" fontId="11" fillId="2" borderId="106" xfId="1" applyFont="1" applyFill="1" applyBorder="1" applyAlignment="1" applyProtection="1">
      <alignment horizontal="left" vertical="center"/>
    </xf>
    <xf numFmtId="43" fontId="13" fillId="0" borderId="0" xfId="1" applyFont="1" applyFill="1" applyBorder="1" applyAlignment="1" applyProtection="1">
      <alignment horizontal="left" vertical="center" wrapText="1"/>
    </xf>
    <xf numFmtId="43" fontId="13" fillId="0" borderId="14" xfId="1" applyFont="1" applyFill="1" applyBorder="1" applyAlignment="1" applyProtection="1">
      <alignment horizontal="left" vertical="center" wrapText="1"/>
    </xf>
    <xf numFmtId="43" fontId="11" fillId="2" borderId="46" xfId="1" applyFont="1" applyFill="1" applyBorder="1" applyAlignment="1" applyProtection="1">
      <alignment vertical="center"/>
    </xf>
    <xf numFmtId="43" fontId="11" fillId="2" borderId="2" xfId="1" applyFont="1" applyFill="1" applyBorder="1" applyAlignment="1" applyProtection="1">
      <alignment vertical="center"/>
    </xf>
    <xf numFmtId="43" fontId="11" fillId="2" borderId="9" xfId="1" applyFont="1" applyFill="1" applyBorder="1" applyAlignment="1" applyProtection="1">
      <alignment vertical="center"/>
    </xf>
    <xf numFmtId="43" fontId="11" fillId="2" borderId="17" xfId="1" applyFont="1" applyFill="1" applyBorder="1" applyAlignment="1" applyProtection="1">
      <alignment vertical="center"/>
    </xf>
    <xf numFmtId="43" fontId="11" fillId="2" borderId="0" xfId="1" applyFont="1" applyFill="1" applyBorder="1" applyAlignment="1" applyProtection="1">
      <alignment vertical="center"/>
    </xf>
    <xf numFmtId="43" fontId="11" fillId="2" borderId="30" xfId="1" applyFont="1" applyFill="1" applyBorder="1" applyAlignment="1" applyProtection="1">
      <alignment vertical="center"/>
    </xf>
    <xf numFmtId="43" fontId="11" fillId="2" borderId="31" xfId="1" applyFont="1" applyFill="1" applyBorder="1" applyAlignment="1" applyProtection="1">
      <alignment vertical="center"/>
    </xf>
    <xf numFmtId="43" fontId="11" fillId="2" borderId="22" xfId="1" applyFont="1" applyFill="1" applyBorder="1" applyAlignment="1" applyProtection="1">
      <alignment vertical="center"/>
    </xf>
    <xf numFmtId="43" fontId="5" fillId="0" borderId="30" xfId="1" applyFont="1" applyBorder="1" applyAlignment="1">
      <alignment horizontal="center" vertical="center" wrapText="1"/>
    </xf>
    <xf numFmtId="43" fontId="5" fillId="0" borderId="31" xfId="1" applyFont="1" applyBorder="1" applyAlignment="1">
      <alignment horizontal="center" vertical="center" wrapText="1"/>
    </xf>
    <xf numFmtId="3" fontId="11" fillId="0" borderId="21" xfId="80" applyNumberFormat="1" applyFont="1" applyBorder="1" applyAlignment="1">
      <alignment horizontal="center" vertical="center"/>
    </xf>
    <xf numFmtId="3" fontId="11" fillId="0" borderId="65" xfId="80" applyNumberFormat="1" applyFont="1" applyBorder="1" applyAlignment="1">
      <alignment horizontal="center" vertical="center"/>
    </xf>
    <xf numFmtId="43" fontId="80" fillId="0" borderId="23" xfId="1" applyFont="1" applyFill="1" applyBorder="1" applyAlignment="1">
      <alignment horizontal="center" vertical="center" wrapText="1"/>
    </xf>
    <xf numFmtId="43" fontId="80" fillId="0" borderId="24" xfId="1" applyFont="1" applyFill="1" applyBorder="1" applyAlignment="1">
      <alignment horizontal="center" vertical="center" wrapText="1"/>
    </xf>
    <xf numFmtId="43" fontId="80" fillId="0" borderId="104" xfId="1" applyFont="1" applyFill="1" applyBorder="1" applyAlignment="1">
      <alignment horizontal="center" vertical="center" wrapText="1"/>
    </xf>
    <xf numFmtId="43" fontId="80" fillId="0" borderId="45" xfId="1" applyFont="1" applyFill="1" applyBorder="1" applyAlignment="1">
      <alignment horizontal="center" vertical="center" wrapText="1"/>
    </xf>
    <xf numFmtId="43" fontId="80" fillId="0" borderId="0" xfId="1" applyFont="1" applyFill="1" applyBorder="1" applyAlignment="1">
      <alignment horizontal="center" vertical="center" wrapText="1"/>
    </xf>
    <xf numFmtId="3" fontId="10" fillId="0" borderId="4" xfId="1" quotePrefix="1" applyNumberFormat="1" applyFont="1" applyFill="1" applyBorder="1" applyAlignment="1" applyProtection="1">
      <alignment horizontal="center" vertical="center" wrapText="1"/>
    </xf>
    <xf numFmtId="3" fontId="10" fillId="0" borderId="3" xfId="1" quotePrefix="1" applyNumberFormat="1" applyFont="1" applyFill="1" applyBorder="1" applyAlignment="1" applyProtection="1">
      <alignment horizontal="center" vertical="center" wrapText="1"/>
    </xf>
    <xf numFmtId="3" fontId="10" fillId="0" borderId="4" xfId="2" quotePrefix="1" applyNumberFormat="1" applyFont="1" applyFill="1" applyBorder="1" applyAlignment="1" applyProtection="1">
      <alignment horizontal="center" vertical="center" wrapText="1"/>
    </xf>
    <xf numFmtId="3" fontId="10" fillId="0" borderId="5" xfId="2" quotePrefix="1" applyNumberFormat="1" applyFont="1" applyFill="1" applyBorder="1" applyAlignment="1" applyProtection="1">
      <alignment horizontal="center" vertical="center" wrapText="1"/>
    </xf>
    <xf numFmtId="43" fontId="11" fillId="2" borderId="6" xfId="1" applyFont="1" applyFill="1" applyBorder="1" applyAlignment="1" applyProtection="1">
      <alignment horizontal="left" vertical="center"/>
    </xf>
    <xf numFmtId="43" fontId="11" fillId="2" borderId="3" xfId="1" applyFont="1" applyFill="1" applyBorder="1" applyAlignment="1" applyProtection="1">
      <alignment horizontal="left" vertical="center"/>
    </xf>
    <xf numFmtId="43" fontId="11" fillId="2" borderId="11" xfId="1" applyFont="1" applyFill="1" applyBorder="1" applyAlignment="1" applyProtection="1">
      <alignment horizontal="left" vertical="center"/>
    </xf>
    <xf numFmtId="43" fontId="11" fillId="2" borderId="6" xfId="1" applyFont="1" applyFill="1" applyBorder="1" applyAlignment="1" applyProtection="1">
      <alignment vertical="center"/>
    </xf>
    <xf numFmtId="43" fontId="11" fillId="2" borderId="3" xfId="1" applyFont="1" applyFill="1" applyBorder="1" applyAlignment="1" applyProtection="1">
      <alignment vertical="center"/>
    </xf>
    <xf numFmtId="43" fontId="11" fillId="2" borderId="15" xfId="1" applyFont="1" applyFill="1" applyBorder="1" applyAlignment="1" applyProtection="1">
      <alignment vertical="center"/>
    </xf>
    <xf numFmtId="43" fontId="11" fillId="2" borderId="37" xfId="1" applyFont="1" applyFill="1" applyBorder="1" applyAlignment="1" applyProtection="1">
      <alignment vertical="center"/>
    </xf>
    <xf numFmtId="0" fontId="5" fillId="0" borderId="30" xfId="80" applyFont="1" applyBorder="1" applyAlignment="1">
      <alignment horizontal="center" vertical="center" wrapText="1"/>
    </xf>
    <xf numFmtId="0" fontId="5" fillId="0" borderId="31" xfId="80" applyFont="1" applyBorder="1" applyAlignment="1">
      <alignment horizontal="center" vertical="center" wrapText="1"/>
    </xf>
    <xf numFmtId="174" fontId="80" fillId="0" borderId="23" xfId="118" applyFont="1" applyBorder="1" applyAlignment="1">
      <alignment horizontal="center" vertical="center" wrapText="1"/>
    </xf>
    <xf numFmtId="174" fontId="80" fillId="0" borderId="24" xfId="118" applyFont="1" applyBorder="1" applyAlignment="1">
      <alignment horizontal="center" vertical="center" wrapText="1"/>
    </xf>
    <xf numFmtId="174" fontId="80" fillId="0" borderId="104" xfId="118" applyFont="1" applyBorder="1" applyAlignment="1">
      <alignment horizontal="center" vertical="center" wrapText="1"/>
    </xf>
    <xf numFmtId="174" fontId="80" fillId="0" borderId="45" xfId="118" applyFont="1" applyBorder="1" applyAlignment="1">
      <alignment horizontal="center" vertical="center" wrapText="1"/>
    </xf>
    <xf numFmtId="174" fontId="80" fillId="0" borderId="0" xfId="118" applyFont="1" applyAlignment="1">
      <alignment horizontal="center" vertical="center" wrapText="1"/>
    </xf>
    <xf numFmtId="43" fontId="15" fillId="0" borderId="0" xfId="1" quotePrefix="1" applyFont="1" applyFill="1" applyBorder="1" applyAlignment="1" applyProtection="1">
      <alignment horizontal="left" vertical="center" wrapText="1"/>
    </xf>
    <xf numFmtId="43" fontId="15" fillId="0" borderId="14" xfId="1" quotePrefix="1" applyFont="1" applyFill="1" applyBorder="1" applyAlignment="1" applyProtection="1">
      <alignment horizontal="left" vertical="center" wrapText="1"/>
    </xf>
    <xf numFmtId="43" fontId="11" fillId="2" borderId="37" xfId="1" applyFont="1" applyFill="1" applyBorder="1" applyAlignment="1" applyProtection="1">
      <alignment horizontal="left" vertical="center"/>
    </xf>
    <xf numFmtId="43" fontId="11" fillId="2" borderId="11" xfId="1" applyFont="1" applyFill="1" applyBorder="1" applyAlignment="1" applyProtection="1">
      <alignment vertical="center"/>
    </xf>
    <xf numFmtId="1" fontId="11" fillId="36" borderId="30" xfId="129" applyNumberFormat="1" applyFont="1" applyFill="1" applyBorder="1" applyAlignment="1">
      <alignment horizontal="center" vertical="center"/>
    </xf>
    <xf numFmtId="1" fontId="11" fillId="36" borderId="31" xfId="129" applyNumberFormat="1" applyFont="1" applyFill="1" applyBorder="1" applyAlignment="1">
      <alignment horizontal="center" vertical="center"/>
    </xf>
    <xf numFmtId="1" fontId="11" fillId="36" borderId="32" xfId="129" applyNumberFormat="1" applyFont="1" applyFill="1" applyBorder="1" applyAlignment="1">
      <alignment horizontal="center" vertical="center"/>
    </xf>
    <xf numFmtId="176" fontId="6" fillId="36" borderId="33" xfId="4" applyNumberFormat="1" applyFont="1" applyFill="1" applyBorder="1" applyAlignment="1">
      <alignment horizontal="center" vertical="center" wrapText="1"/>
    </xf>
    <xf numFmtId="176" fontId="6" fillId="36" borderId="35" xfId="4" applyNumberFormat="1" applyFont="1" applyFill="1" applyBorder="1" applyAlignment="1">
      <alignment horizontal="center" vertical="center" wrapText="1"/>
    </xf>
    <xf numFmtId="0" fontId="6" fillId="36" borderId="33" xfId="5" applyFont="1" applyFill="1" applyBorder="1" applyAlignment="1">
      <alignment horizontal="center" wrapText="1"/>
    </xf>
    <xf numFmtId="0" fontId="6" fillId="36" borderId="35" xfId="5" applyFont="1" applyFill="1" applyBorder="1" applyAlignment="1">
      <alignment horizontal="center" wrapText="1"/>
    </xf>
    <xf numFmtId="43" fontId="6" fillId="0" borderId="33" xfId="1" applyFont="1" applyFill="1" applyBorder="1" applyAlignment="1" applyProtection="1">
      <alignment horizontal="center" vertical="center" wrapText="1"/>
    </xf>
    <xf numFmtId="43" fontId="6" fillId="0" borderId="35" xfId="1" applyFont="1" applyFill="1" applyBorder="1" applyAlignment="1" applyProtection="1">
      <alignment horizontal="center" vertical="center" wrapText="1"/>
    </xf>
    <xf numFmtId="0" fontId="84" fillId="14" borderId="107" xfId="131" applyFont="1" applyFill="1" applyBorder="1" applyAlignment="1">
      <alignment horizontal="left" vertical="center"/>
    </xf>
    <xf numFmtId="43" fontId="6" fillId="36" borderId="3" xfId="1" applyFont="1" applyFill="1" applyBorder="1" applyAlignment="1" applyProtection="1">
      <alignment horizontal="center" vertical="center" wrapText="1"/>
    </xf>
    <xf numFmtId="0" fontId="66" fillId="37" borderId="97" xfId="80" applyFont="1" applyFill="1" applyBorder="1" applyAlignment="1">
      <alignment horizontal="center" vertical="center"/>
    </xf>
    <xf numFmtId="0" fontId="66" fillId="37" borderId="80" xfId="80" applyFont="1" applyFill="1" applyBorder="1" applyAlignment="1">
      <alignment horizontal="center" vertical="center"/>
    </xf>
    <xf numFmtId="0" fontId="61" fillId="36" borderId="3" xfId="0" applyFont="1" applyFill="1" applyBorder="1" applyAlignment="1">
      <alignment horizontal="center"/>
    </xf>
    <xf numFmtId="49" fontId="66" fillId="37" borderId="94" xfId="80" applyNumberFormat="1" applyFont="1" applyFill="1" applyBorder="1" applyAlignment="1">
      <alignment horizontal="center" vertical="center" wrapText="1"/>
    </xf>
    <xf numFmtId="49" fontId="66" fillId="37" borderId="95" xfId="80" applyNumberFormat="1" applyFont="1" applyFill="1" applyBorder="1" applyAlignment="1">
      <alignment horizontal="center" vertical="center" wrapText="1"/>
    </xf>
    <xf numFmtId="49" fontId="66" fillId="37" borderId="96" xfId="80" applyNumberFormat="1" applyFont="1" applyFill="1" applyBorder="1" applyAlignment="1">
      <alignment horizontal="center" vertical="center" wrapText="1"/>
    </xf>
    <xf numFmtId="49" fontId="66" fillId="37" borderId="72" xfId="80" applyNumberFormat="1" applyFont="1" applyFill="1" applyBorder="1" applyAlignment="1">
      <alignment horizontal="center" vertical="center" wrapText="1"/>
    </xf>
    <xf numFmtId="49" fontId="66" fillId="37" borderId="75" xfId="80" applyNumberFormat="1" applyFont="1" applyFill="1" applyBorder="1" applyAlignment="1">
      <alignment horizontal="center" vertical="center" wrapText="1"/>
    </xf>
    <xf numFmtId="49" fontId="66" fillId="37" borderId="79" xfId="80" applyNumberFormat="1" applyFont="1" applyFill="1" applyBorder="1" applyAlignment="1">
      <alignment horizontal="center" vertical="center" wrapText="1"/>
    </xf>
    <xf numFmtId="0" fontId="65" fillId="0" borderId="0" xfId="80" applyFont="1" applyAlignment="1">
      <alignment horizontal="center" vertical="center" wrapText="1"/>
    </xf>
  </cellXfs>
  <cellStyles count="133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3" xfId="54" xr:uid="{00000000-0005-0000-0000-000031000000}"/>
    <cellStyle name="Migliaia [0] 3 2" xfId="55" xr:uid="{00000000-0005-0000-0000-000032000000}"/>
    <cellStyle name="Migliaia [0] 4" xfId="56" xr:uid="{00000000-0005-0000-0000-000033000000}"/>
    <cellStyle name="Migliaia [0] 5" xfId="57" xr:uid="{00000000-0005-0000-0000-000034000000}"/>
    <cellStyle name="Migliaia [0] 6" xfId="58" xr:uid="{00000000-0005-0000-0000-000035000000}"/>
    <cellStyle name="Migliaia [0] 7" xfId="127" xr:uid="{00000000-0005-0000-0000-000036000000}"/>
    <cellStyle name="Migliaia [0] 8 2" xfId="59" xr:uid="{00000000-0005-0000-0000-000037000000}"/>
    <cellStyle name="Migliaia 10" xfId="126" xr:uid="{00000000-0005-0000-0000-000038000000}"/>
    <cellStyle name="Migliaia 11" xfId="60" xr:uid="{00000000-0005-0000-0000-000039000000}"/>
    <cellStyle name="Migliaia 2" xfId="61" xr:uid="{00000000-0005-0000-0000-00003A000000}"/>
    <cellStyle name="Migliaia 2 2" xfId="62" xr:uid="{00000000-0005-0000-0000-00003B000000}"/>
    <cellStyle name="Migliaia 2 3" xfId="63" xr:uid="{00000000-0005-0000-0000-00003C000000}"/>
    <cellStyle name="Migliaia 2 4" xfId="64" xr:uid="{00000000-0005-0000-0000-00003D000000}"/>
    <cellStyle name="Migliaia 2_AOTS_Organizzazione_31-12-2011" xfId="65" xr:uid="{00000000-0005-0000-0000-00003E000000}"/>
    <cellStyle name="Migliaia 3" xfId="66" xr:uid="{00000000-0005-0000-0000-00003F000000}"/>
    <cellStyle name="Migliaia 3 2" xfId="67" xr:uid="{00000000-0005-0000-0000-000040000000}"/>
    <cellStyle name="Migliaia 3_AOTS_Organizzazione_31-12-2011" xfId="68" xr:uid="{00000000-0005-0000-0000-000041000000}"/>
    <cellStyle name="Migliaia 4" xfId="69" xr:uid="{00000000-0005-0000-0000-000042000000}"/>
    <cellStyle name="Migliaia 4 2" xfId="70" xr:uid="{00000000-0005-0000-0000-000043000000}"/>
    <cellStyle name="Migliaia 5" xfId="71" xr:uid="{00000000-0005-0000-0000-000044000000}"/>
    <cellStyle name="Migliaia 6" xfId="72" xr:uid="{00000000-0005-0000-0000-000045000000}"/>
    <cellStyle name="Migliaia 6 2" xfId="119" xr:uid="{00000000-0005-0000-0000-000046000000}"/>
    <cellStyle name="Migliaia 7" xfId="73" xr:uid="{00000000-0005-0000-0000-000047000000}"/>
    <cellStyle name="Migliaia 8" xfId="74" xr:uid="{00000000-0005-0000-0000-000048000000}"/>
    <cellStyle name="Migliaia 9" xfId="116" xr:uid="{00000000-0005-0000-0000-000049000000}"/>
    <cellStyle name="Migliaia 9 2" xfId="75" xr:uid="{00000000-0005-0000-0000-00004A000000}"/>
    <cellStyle name="Migliaia_Mattone CE_Budget 2008 (v. 0.5 del 12.02.2008) 2" xfId="130" xr:uid="{00000000-0005-0000-0000-00004B000000}"/>
    <cellStyle name="Neutrale 2" xfId="76" xr:uid="{00000000-0005-0000-0000-00004C000000}"/>
    <cellStyle name="Normal 12" xfId="117" xr:uid="{00000000-0005-0000-0000-00004D000000}"/>
    <cellStyle name="Normal 2" xfId="77" xr:uid="{00000000-0005-0000-0000-00004E000000}"/>
    <cellStyle name="Normal_all7_pdc" xfId="78" xr:uid="{00000000-0005-0000-0000-00004F000000}"/>
    <cellStyle name="Normal_Sheet1 2" xfId="5" xr:uid="{00000000-0005-0000-0000-000050000000}"/>
    <cellStyle name="Normale" xfId="0" builtinId="0"/>
    <cellStyle name="Normale 10" xfId="121" xr:uid="{00000000-0005-0000-0000-000052000000}"/>
    <cellStyle name="Normale 11" xfId="123" xr:uid="{00000000-0005-0000-0000-000053000000}"/>
    <cellStyle name="Normale 12" xfId="125" xr:uid="{00000000-0005-0000-0000-000054000000}"/>
    <cellStyle name="Normale 19 2" xfId="124" xr:uid="{00000000-0005-0000-0000-000055000000}"/>
    <cellStyle name="Normale 2" xfId="79" xr:uid="{00000000-0005-0000-0000-000056000000}"/>
    <cellStyle name="Normale 2 2" xfId="80" xr:uid="{00000000-0005-0000-0000-000057000000}"/>
    <cellStyle name="Normale 2_1 BILANCIO AOU" xfId="81" xr:uid="{00000000-0005-0000-0000-000058000000}"/>
    <cellStyle name="Normale 20" xfId="122" xr:uid="{00000000-0005-0000-0000-000059000000}"/>
    <cellStyle name="Normale 3" xfId="82" xr:uid="{00000000-0005-0000-0000-00005A000000}"/>
    <cellStyle name="Normale 3 2" xfId="83" xr:uid="{00000000-0005-0000-0000-00005B000000}"/>
    <cellStyle name="Normale 3 3" xfId="84" xr:uid="{00000000-0005-0000-0000-00005C000000}"/>
    <cellStyle name="Normale 4" xfId="85" xr:uid="{00000000-0005-0000-0000-00005D000000}"/>
    <cellStyle name="Normale 5" xfId="86" xr:uid="{00000000-0005-0000-0000-00005E000000}"/>
    <cellStyle name="Normale 6" xfId="87" xr:uid="{00000000-0005-0000-0000-00005F000000}"/>
    <cellStyle name="Normale 6 2" xfId="88" xr:uid="{00000000-0005-0000-0000-000060000000}"/>
    <cellStyle name="Normale 7" xfId="89" xr:uid="{00000000-0005-0000-0000-000061000000}"/>
    <cellStyle name="Normale 7 2" xfId="90" xr:uid="{00000000-0005-0000-0000-000062000000}"/>
    <cellStyle name="Normale 7 3" xfId="120" xr:uid="{00000000-0005-0000-0000-000063000000}"/>
    <cellStyle name="Normale 7_Allegati 1-2def" xfId="91" xr:uid="{00000000-0005-0000-0000-000064000000}"/>
    <cellStyle name="Normale 8" xfId="92" xr:uid="{00000000-0005-0000-0000-000065000000}"/>
    <cellStyle name="Normale 9" xfId="93" xr:uid="{00000000-0005-0000-0000-000066000000}"/>
    <cellStyle name="Normale_All7_piano dei conti" xfId="6" xr:uid="{00000000-0005-0000-0000-000067000000}"/>
    <cellStyle name="Normale_FLUSSI FINANZIARI" xfId="131" xr:uid="{00000000-0005-0000-0000-000068000000}"/>
    <cellStyle name="Normale_Mattone CE_Budget 2008 (v. 0.5 del 12.02.2008) 2" xfId="4" xr:uid="{00000000-0005-0000-0000-000069000000}"/>
    <cellStyle name="Normale_Mattone CE_Budget 2008 (v. 0.5 del 12.02.2008) 2 2" xfId="129" xr:uid="{00000000-0005-0000-0000-00006A000000}"/>
    <cellStyle name="Normale_modelloDCF2004bottoni" xfId="132" xr:uid="{00000000-0005-0000-0000-00006B000000}"/>
    <cellStyle name="Nota 2" xfId="94" xr:uid="{00000000-0005-0000-0000-00006C000000}"/>
    <cellStyle name="Output 2" xfId="95" xr:uid="{00000000-0005-0000-0000-00006D000000}"/>
    <cellStyle name="Percent 2" xfId="96" xr:uid="{00000000-0005-0000-0000-00006E000000}"/>
    <cellStyle name="Percent 3" xfId="97" xr:uid="{00000000-0005-0000-0000-00006F000000}"/>
    <cellStyle name="Percentuale" xfId="3" builtinId="5"/>
    <cellStyle name="Percentuale 2" xfId="98" xr:uid="{00000000-0005-0000-0000-000071000000}"/>
    <cellStyle name="Percentuale 2 2" xfId="99" xr:uid="{00000000-0005-0000-0000-000072000000}"/>
    <cellStyle name="Percentuale 2 3" xfId="100" xr:uid="{00000000-0005-0000-0000-000073000000}"/>
    <cellStyle name="Percentuale 3" xfId="128" xr:uid="{00000000-0005-0000-0000-000074000000}"/>
    <cellStyle name="Percentuale 4" xfId="101" xr:uid="{00000000-0005-0000-0000-000075000000}"/>
    <cellStyle name="SAS FM Row drillable header" xfId="102" xr:uid="{00000000-0005-0000-0000-000076000000}"/>
    <cellStyle name="SAS FM Row header" xfId="103" xr:uid="{00000000-0005-0000-0000-000077000000}"/>
    <cellStyle name="Testo avviso 2" xfId="104" xr:uid="{00000000-0005-0000-0000-000078000000}"/>
    <cellStyle name="Testo descrittivo 2" xfId="105" xr:uid="{00000000-0005-0000-0000-000079000000}"/>
    <cellStyle name="Titolo 1 2" xfId="106" xr:uid="{00000000-0005-0000-0000-00007A000000}"/>
    <cellStyle name="Titolo 2 2" xfId="107" xr:uid="{00000000-0005-0000-0000-00007B000000}"/>
    <cellStyle name="Titolo 3 2" xfId="108" xr:uid="{00000000-0005-0000-0000-00007C000000}"/>
    <cellStyle name="Titolo 4 2" xfId="109" xr:uid="{00000000-0005-0000-0000-00007D000000}"/>
    <cellStyle name="Titolo 5" xfId="110" xr:uid="{00000000-0005-0000-0000-00007E000000}"/>
    <cellStyle name="Titolo 6" xfId="118" xr:uid="{00000000-0005-0000-0000-00007F000000}"/>
    <cellStyle name="Totale 2" xfId="111" xr:uid="{00000000-0005-0000-0000-000080000000}"/>
    <cellStyle name="Valore non valido 2" xfId="112" xr:uid="{00000000-0005-0000-0000-000081000000}"/>
    <cellStyle name="Valore valido 2" xfId="113" xr:uid="{00000000-0005-0000-0000-000082000000}"/>
    <cellStyle name="Valuta (0)_% Attrezzature ed Edilizia" xfId="114" xr:uid="{00000000-0005-0000-0000-000083000000}"/>
    <cellStyle name="Valuta 2" xfId="115" xr:uid="{00000000-0005-0000-0000-000084000000}"/>
  </cellStyles>
  <dxfs count="0"/>
  <tableStyles count="0" defaultTableStyle="TableStyleMedium2" defaultPivotStyle="PivotStyleLight16"/>
  <colors>
    <mruColors>
      <color rgb="FF00CCFF"/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1360170</xdr:colOff>
      <xdr:row>2</xdr:row>
      <xdr:rowOff>773417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9BAB857-5032-E14B-A2DA-D941CEFF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963274" cy="2790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15875</xdr:colOff>
      <xdr:row>2</xdr:row>
      <xdr:rowOff>963155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7C52618-FCD8-37C4-6AA9-E7ED2AE2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588625" cy="3277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topLeftCell="A3" zoomScaleNormal="100" workbookViewId="0">
      <selection activeCell="D25" sqref="D25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9.28515625" style="328" customWidth="1"/>
  </cols>
  <sheetData>
    <row r="1" spans="1:9" s="394" customFormat="1" ht="15.75">
      <c r="A1" s="1"/>
      <c r="B1" s="1"/>
      <c r="C1" s="2"/>
      <c r="D1" s="391"/>
      <c r="E1" s="392"/>
      <c r="F1" s="171"/>
      <c r="G1" s="393"/>
      <c r="H1" s="393"/>
      <c r="I1" s="393"/>
    </row>
    <row r="2" spans="1:9" s="394" customFormat="1" ht="20.25">
      <c r="A2" s="918" t="s">
        <v>0</v>
      </c>
      <c r="B2" s="919"/>
      <c r="C2" s="919"/>
      <c r="D2" s="395"/>
      <c r="E2" s="395"/>
      <c r="F2" s="920" t="s">
        <v>1</v>
      </c>
      <c r="G2" s="920"/>
      <c r="H2" s="3"/>
      <c r="I2" s="3"/>
    </row>
    <row r="3" spans="1:9" ht="13.5" thickBot="1">
      <c r="A3" s="4"/>
      <c r="B3" s="4"/>
      <c r="C3" s="5"/>
      <c r="D3" s="172"/>
      <c r="E3" s="172"/>
      <c r="F3" s="173"/>
      <c r="G3" s="6"/>
    </row>
    <row r="4" spans="1:9" ht="33" customHeight="1">
      <c r="A4" s="921" t="s">
        <v>2097</v>
      </c>
      <c r="B4" s="922"/>
      <c r="C4" s="923"/>
      <c r="D4" s="926" t="s">
        <v>3452</v>
      </c>
      <c r="E4" s="926" t="s">
        <v>3451</v>
      </c>
      <c r="F4" s="924" t="s">
        <v>3453</v>
      </c>
      <c r="G4" s="925"/>
    </row>
    <row r="5" spans="1:9">
      <c r="A5" s="230"/>
      <c r="B5" s="231"/>
      <c r="C5" s="231"/>
      <c r="D5" s="927"/>
      <c r="E5" s="927"/>
      <c r="F5" s="232" t="s">
        <v>2</v>
      </c>
      <c r="G5" s="389" t="s">
        <v>3</v>
      </c>
    </row>
    <row r="6" spans="1:9">
      <c r="A6" s="7"/>
      <c r="B6" s="8"/>
      <c r="C6" s="9"/>
      <c r="D6" s="174"/>
      <c r="E6" s="174"/>
      <c r="F6" s="175"/>
      <c r="G6" s="159"/>
    </row>
    <row r="7" spans="1:9">
      <c r="A7" s="10" t="s">
        <v>4</v>
      </c>
      <c r="B7" s="4"/>
      <c r="C7" s="11" t="s">
        <v>5</v>
      </c>
      <c r="D7" s="176"/>
      <c r="E7" s="176"/>
      <c r="F7" s="177"/>
      <c r="G7" s="160"/>
    </row>
    <row r="8" spans="1:9">
      <c r="A8" s="10"/>
      <c r="B8" s="4"/>
      <c r="C8" s="12"/>
      <c r="D8" s="178"/>
      <c r="E8" s="178"/>
      <c r="F8" s="177"/>
      <c r="G8" s="160"/>
    </row>
    <row r="9" spans="1:9">
      <c r="A9" s="10">
        <v>1</v>
      </c>
      <c r="B9" s="11" t="s">
        <v>6</v>
      </c>
      <c r="C9" s="11"/>
      <c r="D9" s="179">
        <f t="shared" ref="D9:E9" si="0">D10+D11+D18+D23</f>
        <v>44719577</v>
      </c>
      <c r="E9" s="179">
        <f t="shared" si="0"/>
        <v>48996816</v>
      </c>
      <c r="F9" s="390">
        <f>+D9-E9</f>
        <v>-4277239</v>
      </c>
      <c r="G9" s="330">
        <f>+F9/E9</f>
        <v>-8.7296264312358582E-2</v>
      </c>
    </row>
    <row r="10" spans="1:9">
      <c r="A10" s="13"/>
      <c r="B10" s="14" t="s">
        <v>7</v>
      </c>
      <c r="C10" s="14"/>
      <c r="D10" s="180">
        <f>+ROUND('CE Min'!D9,0)</f>
        <v>27074638</v>
      </c>
      <c r="E10" s="180">
        <f>+ROUND('CE Min'!E9,0)</f>
        <v>38083927</v>
      </c>
      <c r="F10" s="181">
        <f t="shared" ref="F10:F35" si="1">+D10-E10</f>
        <v>-11009289</v>
      </c>
      <c r="G10" s="161">
        <f t="shared" ref="G10:G35" si="2">+F10/E10</f>
        <v>-0.28907966870118201</v>
      </c>
    </row>
    <row r="11" spans="1:9">
      <c r="A11" s="10"/>
      <c r="B11" s="14" t="s">
        <v>8</v>
      </c>
      <c r="C11" s="14"/>
      <c r="D11" s="180">
        <f t="shared" ref="D11:E11" si="3">SUM(D12:D17)</f>
        <v>10944357</v>
      </c>
      <c r="E11" s="180">
        <f t="shared" si="3"/>
        <v>2346549</v>
      </c>
      <c r="F11" s="181">
        <f t="shared" si="1"/>
        <v>8597808</v>
      </c>
      <c r="G11" s="161">
        <f t="shared" si="2"/>
        <v>3.6640223579392548</v>
      </c>
    </row>
    <row r="12" spans="1:9">
      <c r="A12" s="10"/>
      <c r="B12" s="15"/>
      <c r="C12" s="60" t="s">
        <v>9</v>
      </c>
      <c r="D12" s="180">
        <f>+ROUND('CE Min'!D20,0)</f>
        <v>9736969</v>
      </c>
      <c r="E12" s="180">
        <f>+ROUND('CE Min'!E20,0)</f>
        <v>70811</v>
      </c>
      <c r="F12" s="182">
        <f t="shared" si="1"/>
        <v>9666158</v>
      </c>
      <c r="G12" s="162">
        <f t="shared" si="2"/>
        <v>136.50644673850107</v>
      </c>
    </row>
    <row r="13" spans="1:9" ht="22.5">
      <c r="A13" s="13"/>
      <c r="B13" s="15"/>
      <c r="C13" s="60" t="s">
        <v>10</v>
      </c>
      <c r="D13" s="180">
        <f>+ROUND('CE Min'!D21,0)</f>
        <v>0</v>
      </c>
      <c r="E13" s="180">
        <f>+ROUND('CE Min'!E21,0)</f>
        <v>0</v>
      </c>
      <c r="F13" s="182">
        <f t="shared" si="1"/>
        <v>0</v>
      </c>
      <c r="G13" s="162"/>
    </row>
    <row r="14" spans="1:9" ht="22.5">
      <c r="A14" s="10"/>
      <c r="B14" s="15"/>
      <c r="C14" s="60" t="s">
        <v>11</v>
      </c>
      <c r="D14" s="180">
        <f>+ROUND('CE Min'!D22,0)</f>
        <v>0</v>
      </c>
      <c r="E14" s="180">
        <f>+ROUND('CE Min'!E22,0)</f>
        <v>0</v>
      </c>
      <c r="F14" s="182">
        <f t="shared" si="1"/>
        <v>0</v>
      </c>
      <c r="G14" s="162"/>
    </row>
    <row r="15" spans="1:9">
      <c r="A15" s="13"/>
      <c r="B15" s="15"/>
      <c r="C15" s="60" t="s">
        <v>12</v>
      </c>
      <c r="D15" s="180">
        <f>+ROUND('CE Min'!D23,0)</f>
        <v>0</v>
      </c>
      <c r="E15" s="180">
        <f>+ROUND('CE Min'!E23,0)</f>
        <v>0</v>
      </c>
      <c r="F15" s="182">
        <f t="shared" si="1"/>
        <v>0</v>
      </c>
      <c r="G15" s="162"/>
    </row>
    <row r="16" spans="1:9">
      <c r="A16" s="13"/>
      <c r="B16" s="15"/>
      <c r="C16" s="60" t="s">
        <v>13</v>
      </c>
      <c r="D16" s="180">
        <f>+ROUND('CE Min'!D24,0)</f>
        <v>33579</v>
      </c>
      <c r="E16" s="180">
        <f>+ROUND('CE Min'!E24,0)</f>
        <v>0</v>
      </c>
      <c r="F16" s="182">
        <f t="shared" si="1"/>
        <v>33579</v>
      </c>
      <c r="G16" s="162">
        <v>1</v>
      </c>
    </row>
    <row r="17" spans="1:7">
      <c r="A17" s="10"/>
      <c r="B17" s="15"/>
      <c r="C17" s="60" t="s">
        <v>14</v>
      </c>
      <c r="D17" s="180">
        <f>+ROUND('CE Min'!D27,0)</f>
        <v>1173809</v>
      </c>
      <c r="E17" s="180">
        <f>+ROUND('CE Min'!E27,0)</f>
        <v>2275738</v>
      </c>
      <c r="F17" s="182">
        <f t="shared" si="1"/>
        <v>-1101929</v>
      </c>
      <c r="G17" s="162">
        <f t="shared" si="2"/>
        <v>-0.48420732087788665</v>
      </c>
    </row>
    <row r="18" spans="1:7">
      <c r="A18" s="13"/>
      <c r="B18" s="15" t="s">
        <v>15</v>
      </c>
      <c r="C18" s="14"/>
      <c r="D18" s="180">
        <f t="shared" ref="D18:E18" si="4">SUM(D19:D22)</f>
        <v>6667462</v>
      </c>
      <c r="E18" s="180">
        <f t="shared" si="4"/>
        <v>8433844</v>
      </c>
      <c r="F18" s="181">
        <f t="shared" si="1"/>
        <v>-1766382</v>
      </c>
      <c r="G18" s="161">
        <f t="shared" si="2"/>
        <v>-0.2094397287879643</v>
      </c>
    </row>
    <row r="19" spans="1:7">
      <c r="A19" s="13"/>
      <c r="B19" s="15"/>
      <c r="C19" s="14" t="s">
        <v>16</v>
      </c>
      <c r="D19" s="180">
        <f>+ROUND('CE Min'!D34,0)</f>
        <v>3759036</v>
      </c>
      <c r="E19" s="180">
        <f>+ROUND('CE Min'!E34,0)</f>
        <v>3568038</v>
      </c>
      <c r="F19" s="182">
        <f t="shared" si="1"/>
        <v>190998</v>
      </c>
      <c r="G19" s="162">
        <f t="shared" si="2"/>
        <v>5.3530259487146716E-2</v>
      </c>
    </row>
    <row r="20" spans="1:7">
      <c r="A20" s="13"/>
      <c r="B20" s="15"/>
      <c r="C20" s="14" t="s">
        <v>17</v>
      </c>
      <c r="D20" s="180">
        <f>+ROUND('CE Min'!D35,0)</f>
        <v>632912</v>
      </c>
      <c r="E20" s="180">
        <f>+ROUND('CE Min'!E35,0)</f>
        <v>3726734</v>
      </c>
      <c r="F20" s="182">
        <f t="shared" si="1"/>
        <v>-3093822</v>
      </c>
      <c r="G20" s="162">
        <f t="shared" si="2"/>
        <v>-0.83016979478546093</v>
      </c>
    </row>
    <row r="21" spans="1:7">
      <c r="A21" s="13"/>
      <c r="B21" s="15"/>
      <c r="C21" s="14" t="s">
        <v>18</v>
      </c>
      <c r="D21" s="180">
        <f>+ROUND('CE Min'!D36,0)</f>
        <v>2199456</v>
      </c>
      <c r="E21" s="180">
        <f>+ROUND('CE Min'!E36,0)</f>
        <v>879360</v>
      </c>
      <c r="F21" s="182">
        <f t="shared" si="1"/>
        <v>1320096</v>
      </c>
      <c r="G21" s="162">
        <f t="shared" si="2"/>
        <v>1.5012008733624453</v>
      </c>
    </row>
    <row r="22" spans="1:7">
      <c r="A22" s="13"/>
      <c r="B22" s="15"/>
      <c r="C22" s="14" t="s">
        <v>19</v>
      </c>
      <c r="D22" s="180">
        <f>+ROUND('CE Min'!D37,0)</f>
        <v>76058</v>
      </c>
      <c r="E22" s="180">
        <f>+ROUND('CE Min'!E37,0)</f>
        <v>259712</v>
      </c>
      <c r="F22" s="182">
        <f t="shared" si="1"/>
        <v>-183654</v>
      </c>
      <c r="G22" s="162">
        <f t="shared" si="2"/>
        <v>-0.70714483735830458</v>
      </c>
    </row>
    <row r="23" spans="1:7">
      <c r="A23" s="13"/>
      <c r="B23" s="15" t="s">
        <v>20</v>
      </c>
      <c r="C23" s="14"/>
      <c r="D23" s="180">
        <f>+ROUND('CE Min'!D38,0)</f>
        <v>33120</v>
      </c>
      <c r="E23" s="180">
        <f>+ROUND('CE Min'!E38,0)</f>
        <v>132496</v>
      </c>
      <c r="F23" s="182">
        <f t="shared" si="1"/>
        <v>-99376</v>
      </c>
      <c r="G23" s="162">
        <f t="shared" si="2"/>
        <v>-0.75003018959062917</v>
      </c>
    </row>
    <row r="24" spans="1:7">
      <c r="A24" s="10">
        <v>2</v>
      </c>
      <c r="B24" s="11" t="s">
        <v>21</v>
      </c>
      <c r="C24" s="11"/>
      <c r="D24" s="183">
        <f>+ROUND('CE Min'!D39,0)</f>
        <v>-43376</v>
      </c>
      <c r="E24" s="183">
        <f>+ROUND('CE Min'!E39,0)</f>
        <v>-64953</v>
      </c>
      <c r="F24" s="184">
        <f t="shared" si="1"/>
        <v>21577</v>
      </c>
      <c r="G24" s="324">
        <f t="shared" si="2"/>
        <v>-0.33219404800394131</v>
      </c>
    </row>
    <row r="25" spans="1:7">
      <c r="A25" s="10">
        <v>3</v>
      </c>
      <c r="B25" s="11" t="s">
        <v>22</v>
      </c>
      <c r="C25" s="11"/>
      <c r="D25" s="183">
        <f>+ROUND('CE Min'!D42,0)</f>
        <v>9231984</v>
      </c>
      <c r="E25" s="183">
        <f>+ROUND('CE Min'!E42,0)</f>
        <v>2349149</v>
      </c>
      <c r="F25" s="184">
        <f t="shared" si="1"/>
        <v>6882835</v>
      </c>
      <c r="G25" s="324">
        <f t="shared" si="2"/>
        <v>2.9299269650413833</v>
      </c>
    </row>
    <row r="26" spans="1:7">
      <c r="A26" s="10">
        <v>4</v>
      </c>
      <c r="B26" s="11" t="s">
        <v>23</v>
      </c>
      <c r="C26" s="11"/>
      <c r="D26" s="179">
        <f t="shared" ref="D26:E26" si="5">SUM(D27:D29)</f>
        <v>35756047</v>
      </c>
      <c r="E26" s="179">
        <f t="shared" si="5"/>
        <v>34713919</v>
      </c>
      <c r="F26" s="184">
        <f t="shared" si="1"/>
        <v>1042128</v>
      </c>
      <c r="G26" s="324">
        <f t="shared" si="2"/>
        <v>3.0020465277919212E-2</v>
      </c>
    </row>
    <row r="27" spans="1:7">
      <c r="A27" s="10"/>
      <c r="B27" s="14" t="s">
        <v>24</v>
      </c>
      <c r="C27" s="16"/>
      <c r="D27" s="180">
        <f>+ROUND('CE Min'!D49,0)</f>
        <v>33644228</v>
      </c>
      <c r="E27" s="180">
        <f>+ROUND('CE Min'!E49,0)</f>
        <v>32620305</v>
      </c>
      <c r="F27" s="182">
        <f t="shared" si="1"/>
        <v>1023923</v>
      </c>
      <c r="G27" s="162">
        <f t="shared" si="2"/>
        <v>3.1389130175208356E-2</v>
      </c>
    </row>
    <row r="28" spans="1:7">
      <c r="A28" s="13"/>
      <c r="B28" s="14" t="s">
        <v>25</v>
      </c>
      <c r="C28" s="16"/>
      <c r="D28" s="180">
        <f>+ROUND('CE Min'!D95,0)</f>
        <v>1208606</v>
      </c>
      <c r="E28" s="180">
        <f>+ROUND('CE Min'!E95,0)</f>
        <v>1057614</v>
      </c>
      <c r="F28" s="182">
        <f t="shared" si="1"/>
        <v>150992</v>
      </c>
      <c r="G28" s="162">
        <f t="shared" si="2"/>
        <v>0.14276664265034314</v>
      </c>
    </row>
    <row r="29" spans="1:7">
      <c r="A29" s="10"/>
      <c r="B29" s="14" t="s">
        <v>26</v>
      </c>
      <c r="C29" s="16"/>
      <c r="D29" s="180">
        <f>+ROUND('CE Min'!D88+'CE Min'!D94,0)</f>
        <v>903213</v>
      </c>
      <c r="E29" s="180">
        <f>+ROUND('CE Min'!E88+'CE Min'!E94,0)</f>
        <v>1036000</v>
      </c>
      <c r="F29" s="182">
        <f t="shared" si="1"/>
        <v>-132787</v>
      </c>
      <c r="G29" s="162">
        <f t="shared" si="2"/>
        <v>-0.12817277992277992</v>
      </c>
    </row>
    <row r="30" spans="1:7">
      <c r="A30" s="10">
        <v>5</v>
      </c>
      <c r="B30" s="11" t="s">
        <v>27</v>
      </c>
      <c r="C30" s="11"/>
      <c r="D30" s="183">
        <f>+ROUND(+'CE Min'!D103,0)</f>
        <v>970928</v>
      </c>
      <c r="E30" s="183">
        <f>+ROUND(+'CE Min'!E103,0)</f>
        <v>4084308</v>
      </c>
      <c r="F30" s="184">
        <f t="shared" si="1"/>
        <v>-3113380</v>
      </c>
      <c r="G30" s="324">
        <f t="shared" si="2"/>
        <v>-0.76227845696259933</v>
      </c>
    </row>
    <row r="31" spans="1:7">
      <c r="A31" s="10">
        <v>6</v>
      </c>
      <c r="B31" s="11" t="s">
        <v>28</v>
      </c>
      <c r="C31" s="11"/>
      <c r="D31" s="183">
        <f>+ROUND('CE Min'!D124,0)</f>
        <v>1672348</v>
      </c>
      <c r="E31" s="183">
        <f>+ROUND('CE Min'!E124,0)</f>
        <v>1556720</v>
      </c>
      <c r="F31" s="184">
        <f t="shared" si="1"/>
        <v>115628</v>
      </c>
      <c r="G31" s="324">
        <f t="shared" si="2"/>
        <v>7.4276684310601776E-2</v>
      </c>
    </row>
    <row r="32" spans="1:7">
      <c r="A32" s="10">
        <v>7</v>
      </c>
      <c r="B32" s="11" t="s">
        <v>29</v>
      </c>
      <c r="C32" s="11"/>
      <c r="D32" s="183">
        <f>+ROUND('CE Min'!D128,0)</f>
        <v>3018516</v>
      </c>
      <c r="E32" s="183">
        <f>+ROUND('CE Min'!E128,0)</f>
        <v>2785265</v>
      </c>
      <c r="F32" s="184">
        <f t="shared" si="1"/>
        <v>233251</v>
      </c>
      <c r="G32" s="324">
        <f t="shared" si="2"/>
        <v>8.3744634711598362E-2</v>
      </c>
    </row>
    <row r="33" spans="1:7">
      <c r="A33" s="10">
        <v>8</v>
      </c>
      <c r="B33" s="11" t="s">
        <v>30</v>
      </c>
      <c r="C33" s="11"/>
      <c r="D33" s="183">
        <f>+ROUND(+'CE Min'!D135,0)</f>
        <v>7865</v>
      </c>
      <c r="E33" s="183">
        <f>+ROUND(+'CE Min'!E135,0)</f>
        <v>0</v>
      </c>
      <c r="F33" s="184">
        <f t="shared" si="1"/>
        <v>7865</v>
      </c>
      <c r="G33" s="163">
        <v>1</v>
      </c>
    </row>
    <row r="34" spans="1:7">
      <c r="A34" s="10">
        <v>9</v>
      </c>
      <c r="B34" s="11" t="s">
        <v>31</v>
      </c>
      <c r="C34" s="11"/>
      <c r="D34" s="183">
        <f>+ROUND(+'CE Min'!D136,0)</f>
        <v>287711</v>
      </c>
      <c r="E34" s="183">
        <f>+ROUND(+'CE Min'!E136,0)</f>
        <v>306741</v>
      </c>
      <c r="F34" s="184">
        <f t="shared" si="1"/>
        <v>-19030</v>
      </c>
      <c r="G34" s="163">
        <f t="shared" si="2"/>
        <v>-6.2039310036806294E-2</v>
      </c>
    </row>
    <row r="35" spans="1:7">
      <c r="A35" s="233" t="s">
        <v>32</v>
      </c>
      <c r="B35" s="234"/>
      <c r="C35" s="234"/>
      <c r="D35" s="185">
        <f t="shared" ref="D35:E35" si="6">D9+D24+D25+D26+SUM(D30:D34)</f>
        <v>95621600</v>
      </c>
      <c r="E35" s="185">
        <f t="shared" si="6"/>
        <v>94727965</v>
      </c>
      <c r="F35" s="186">
        <f t="shared" si="1"/>
        <v>893635</v>
      </c>
      <c r="G35" s="145">
        <f t="shared" si="2"/>
        <v>9.4336978525823914E-3</v>
      </c>
    </row>
    <row r="36" spans="1:7">
      <c r="A36" s="13"/>
      <c r="B36" s="17"/>
      <c r="C36" s="12"/>
      <c r="D36" s="187"/>
      <c r="E36" s="187"/>
      <c r="F36" s="182"/>
      <c r="G36" s="162"/>
    </row>
    <row r="37" spans="1:7">
      <c r="A37" s="10" t="s">
        <v>33</v>
      </c>
      <c r="B37" s="4"/>
      <c r="C37" s="18" t="s">
        <v>34</v>
      </c>
      <c r="D37" s="188"/>
      <c r="E37" s="188"/>
      <c r="F37" s="184">
        <f t="shared" ref="F37:F85" si="7">+D37-E37</f>
        <v>0</v>
      </c>
      <c r="G37" s="163"/>
    </row>
    <row r="38" spans="1:7">
      <c r="A38" s="10">
        <v>1</v>
      </c>
      <c r="B38" s="11" t="s">
        <v>35</v>
      </c>
      <c r="C38" s="19"/>
      <c r="D38" s="188">
        <f t="shared" ref="D38:E38" si="8">SUM(D39:D40)</f>
        <v>14636790</v>
      </c>
      <c r="E38" s="188">
        <f t="shared" si="8"/>
        <v>15503892</v>
      </c>
      <c r="F38" s="184">
        <f t="shared" si="7"/>
        <v>-867102</v>
      </c>
      <c r="G38" s="163">
        <f t="shared" ref="G38:G85" si="9">+F38/E38</f>
        <v>-5.5928021170426112E-2</v>
      </c>
    </row>
    <row r="39" spans="1:7">
      <c r="A39" s="10"/>
      <c r="B39" s="14" t="s">
        <v>36</v>
      </c>
      <c r="C39" s="16"/>
      <c r="D39" s="180">
        <f>+ROUND('CE Min'!D143,0)</f>
        <v>14150077</v>
      </c>
      <c r="E39" s="180">
        <f>+ROUND('CE Min'!E143,0)</f>
        <v>14897339</v>
      </c>
      <c r="F39" s="182">
        <f t="shared" si="7"/>
        <v>-747262</v>
      </c>
      <c r="G39" s="162">
        <f t="shared" si="9"/>
        <v>-5.0160770322807316E-2</v>
      </c>
    </row>
    <row r="40" spans="1:7">
      <c r="A40" s="13"/>
      <c r="B40" s="14" t="s">
        <v>37</v>
      </c>
      <c r="C40" s="16"/>
      <c r="D40" s="180">
        <f>+ROUND('CE Min'!D174,0)</f>
        <v>486713</v>
      </c>
      <c r="E40" s="180">
        <f>+ROUND('CE Min'!E174,0)</f>
        <v>606553</v>
      </c>
      <c r="F40" s="182">
        <f t="shared" si="7"/>
        <v>-119840</v>
      </c>
      <c r="G40" s="162">
        <f t="shared" si="9"/>
        <v>-0.19757547980143533</v>
      </c>
    </row>
    <row r="41" spans="1:7">
      <c r="A41" s="10">
        <v>2</v>
      </c>
      <c r="B41" s="11" t="s">
        <v>38</v>
      </c>
      <c r="C41" s="19"/>
      <c r="D41" s="188">
        <f t="shared" ref="D41:E41" si="10">SUM(D42:D58)</f>
        <v>8233347</v>
      </c>
      <c r="E41" s="188">
        <f t="shared" si="10"/>
        <v>6446985</v>
      </c>
      <c r="F41" s="184">
        <f t="shared" si="7"/>
        <v>1786362</v>
      </c>
      <c r="G41" s="163">
        <f t="shared" si="9"/>
        <v>0.27708486990430409</v>
      </c>
    </row>
    <row r="42" spans="1:7">
      <c r="A42" s="13"/>
      <c r="B42" s="15" t="s">
        <v>39</v>
      </c>
      <c r="C42" s="14"/>
      <c r="D42" s="180">
        <f>+ROUND('CE Min'!D184,0)</f>
        <v>0</v>
      </c>
      <c r="E42" s="180">
        <f>+ROUND('CE Min'!E184,0)</f>
        <v>0</v>
      </c>
      <c r="F42" s="182">
        <f t="shared" si="7"/>
        <v>0</v>
      </c>
      <c r="G42" s="162"/>
    </row>
    <row r="43" spans="1:7">
      <c r="A43" s="13"/>
      <c r="B43" s="15" t="s">
        <v>40</v>
      </c>
      <c r="C43" s="14"/>
      <c r="D43" s="180">
        <f>+ROUND('CE Min'!D192,0)</f>
        <v>0</v>
      </c>
      <c r="E43" s="180">
        <f>+ROUND('CE Min'!E192,0)</f>
        <v>0</v>
      </c>
      <c r="F43" s="182">
        <f t="shared" si="7"/>
        <v>0</v>
      </c>
      <c r="G43" s="162"/>
    </row>
    <row r="44" spans="1:7">
      <c r="A44" s="13"/>
      <c r="B44" s="15" t="s">
        <v>41</v>
      </c>
      <c r="C44" s="14"/>
      <c r="D44" s="180">
        <f>+ROUND('CE Min'!D196,0)</f>
        <v>377143</v>
      </c>
      <c r="E44" s="180">
        <f>+ROUND('CE Min'!E196,0)</f>
        <v>413246</v>
      </c>
      <c r="F44" s="182">
        <f t="shared" si="7"/>
        <v>-36103</v>
      </c>
      <c r="G44" s="162">
        <f t="shared" si="9"/>
        <v>-8.7364426999898367E-2</v>
      </c>
    </row>
    <row r="45" spans="1:7">
      <c r="A45" s="13"/>
      <c r="B45" s="15" t="s">
        <v>42</v>
      </c>
      <c r="C45" s="14"/>
      <c r="D45" s="180">
        <f>+ROUND('CE Min'!D215,0)</f>
        <v>0</v>
      </c>
      <c r="E45" s="180">
        <f>+ROUND('CE Min'!E215,0)</f>
        <v>0</v>
      </c>
      <c r="F45" s="182">
        <f t="shared" si="7"/>
        <v>0</v>
      </c>
      <c r="G45" s="162"/>
    </row>
    <row r="46" spans="1:7">
      <c r="A46" s="13"/>
      <c r="B46" s="15" t="s">
        <v>43</v>
      </c>
      <c r="C46" s="14"/>
      <c r="D46" s="180">
        <f>+ROUND('CE Min'!D221,0)</f>
        <v>0</v>
      </c>
      <c r="E46" s="180">
        <f>+ROUND('CE Min'!E221,0)</f>
        <v>0</v>
      </c>
      <c r="F46" s="182">
        <f t="shared" si="7"/>
        <v>0</v>
      </c>
      <c r="G46" s="162"/>
    </row>
    <row r="47" spans="1:7">
      <c r="A47" s="13"/>
      <c r="B47" s="15" t="s">
        <v>44</v>
      </c>
      <c r="C47" s="14"/>
      <c r="D47" s="180">
        <f>+ROUND('CE Min'!D226,0)</f>
        <v>0</v>
      </c>
      <c r="E47" s="180">
        <f>+ROUND('CE Min'!E226,0)</f>
        <v>0</v>
      </c>
      <c r="F47" s="182">
        <f t="shared" si="7"/>
        <v>0</v>
      </c>
      <c r="G47" s="162"/>
    </row>
    <row r="48" spans="1:7">
      <c r="A48" s="13"/>
      <c r="B48" s="15" t="s">
        <v>45</v>
      </c>
      <c r="C48" s="14"/>
      <c r="D48" s="180">
        <f>+ROUND('CE Min'!D231,0)</f>
        <v>0</v>
      </c>
      <c r="E48" s="180">
        <f>+ROUND('CE Min'!E231,0)</f>
        <v>0</v>
      </c>
      <c r="F48" s="182">
        <f t="shared" si="7"/>
        <v>0</v>
      </c>
      <c r="G48" s="162"/>
    </row>
    <row r="49" spans="1:7">
      <c r="A49" s="13"/>
      <c r="B49" s="15" t="s">
        <v>46</v>
      </c>
      <c r="C49" s="14"/>
      <c r="D49" s="180">
        <f>+ROUND('CE Min'!D241,0)</f>
        <v>0</v>
      </c>
      <c r="E49" s="180">
        <f>+ROUND('CE Min'!E241,0)</f>
        <v>0</v>
      </c>
      <c r="F49" s="182">
        <f t="shared" si="7"/>
        <v>0</v>
      </c>
      <c r="G49" s="162"/>
    </row>
    <row r="50" spans="1:7">
      <c r="A50" s="13"/>
      <c r="B50" s="15" t="s">
        <v>47</v>
      </c>
      <c r="C50" s="14"/>
      <c r="D50" s="180">
        <f>+ROUND('CE Min'!D247,0)</f>
        <v>0</v>
      </c>
      <c r="E50" s="180">
        <f>+ROUND('CE Min'!E247,0)</f>
        <v>0</v>
      </c>
      <c r="F50" s="182">
        <f t="shared" si="7"/>
        <v>0</v>
      </c>
      <c r="G50" s="162"/>
    </row>
    <row r="51" spans="1:7">
      <c r="A51" s="13"/>
      <c r="B51" s="15" t="s">
        <v>48</v>
      </c>
      <c r="C51" s="14"/>
      <c r="D51" s="180">
        <f>+ROUND('CE Min'!D254,0)</f>
        <v>0</v>
      </c>
      <c r="E51" s="180">
        <f>+ROUND('CE Min'!E254,0)</f>
        <v>0</v>
      </c>
      <c r="F51" s="182">
        <f t="shared" si="7"/>
        <v>0</v>
      </c>
      <c r="G51" s="162"/>
    </row>
    <row r="52" spans="1:7">
      <c r="A52" s="13"/>
      <c r="B52" s="15" t="s">
        <v>49</v>
      </c>
      <c r="C52" s="14"/>
      <c r="D52" s="180">
        <f>+ROUND('CE Min'!D260,0)</f>
        <v>104617</v>
      </c>
      <c r="E52" s="180">
        <f>+ROUND('CE Min'!E260,0)</f>
        <v>104611</v>
      </c>
      <c r="F52" s="182">
        <f t="shared" si="7"/>
        <v>6</v>
      </c>
      <c r="G52" s="162">
        <f t="shared" si="9"/>
        <v>5.7355345040196537E-5</v>
      </c>
    </row>
    <row r="53" spans="1:7">
      <c r="A53" s="13"/>
      <c r="B53" s="15" t="s">
        <v>50</v>
      </c>
      <c r="C53" s="14"/>
      <c r="D53" s="180">
        <f>+ROUND('CE Min'!D265,0)</f>
        <v>521161</v>
      </c>
      <c r="E53" s="180">
        <f>+ROUND('CE Min'!E265,0)</f>
        <v>525884</v>
      </c>
      <c r="F53" s="182">
        <f t="shared" si="7"/>
        <v>-4723</v>
      </c>
      <c r="G53" s="162">
        <f t="shared" si="9"/>
        <v>-8.9810680682431872E-3</v>
      </c>
    </row>
    <row r="54" spans="1:7">
      <c r="A54" s="13"/>
      <c r="B54" s="15" t="s">
        <v>51</v>
      </c>
      <c r="C54" s="14"/>
      <c r="D54" s="180">
        <f>+ROUND('CE Min'!D274,0)</f>
        <v>953832</v>
      </c>
      <c r="E54" s="180">
        <f>+ROUND('CE Min'!E274,0)</f>
        <v>840194</v>
      </c>
      <c r="F54" s="182">
        <f t="shared" si="7"/>
        <v>113638</v>
      </c>
      <c r="G54" s="162">
        <f t="shared" si="9"/>
        <v>0.13525209653960871</v>
      </c>
    </row>
    <row r="55" spans="1:7">
      <c r="A55" s="13"/>
      <c r="B55" s="15" t="s">
        <v>52</v>
      </c>
      <c r="C55" s="14"/>
      <c r="D55" s="180">
        <f>+ROUND('CE Min'!D282,0)</f>
        <v>2936977</v>
      </c>
      <c r="E55" s="180">
        <f>+ROUND('CE Min'!E282,0)-1</f>
        <v>1699348</v>
      </c>
      <c r="F55" s="182">
        <f t="shared" si="7"/>
        <v>1237629</v>
      </c>
      <c r="G55" s="162">
        <f t="shared" si="9"/>
        <v>0.72829638190647239</v>
      </c>
    </row>
    <row r="56" spans="1:7">
      <c r="A56" s="13"/>
      <c r="B56" s="15" t="s">
        <v>53</v>
      </c>
      <c r="C56" s="60"/>
      <c r="D56" s="180">
        <f>+ROUND('CE Min'!D290,0)</f>
        <v>2408719</v>
      </c>
      <c r="E56" s="180">
        <f>+ROUND('CE Min'!E290,0)</f>
        <v>2204773</v>
      </c>
      <c r="F56" s="182">
        <f t="shared" si="7"/>
        <v>203946</v>
      </c>
      <c r="G56" s="162">
        <f t="shared" si="9"/>
        <v>9.2502039892542229E-2</v>
      </c>
    </row>
    <row r="57" spans="1:7">
      <c r="A57" s="13"/>
      <c r="B57" s="15" t="s">
        <v>54</v>
      </c>
      <c r="C57" s="14"/>
      <c r="D57" s="180">
        <f>+ROUND('CE Min'!D304,0)</f>
        <v>930898</v>
      </c>
      <c r="E57" s="180">
        <f>+ROUND('CE Min'!E304,0)</f>
        <v>658929</v>
      </c>
      <c r="F57" s="182">
        <f t="shared" si="7"/>
        <v>271969</v>
      </c>
      <c r="G57" s="162">
        <f t="shared" si="9"/>
        <v>0.41274401339142758</v>
      </c>
    </row>
    <row r="58" spans="1:7">
      <c r="A58" s="13"/>
      <c r="B58" s="15" t="s">
        <v>55</v>
      </c>
      <c r="C58" s="14"/>
      <c r="D58" s="180">
        <f>+ROUND('CE Min'!D312,0)</f>
        <v>0</v>
      </c>
      <c r="E58" s="180">
        <f>+ROUND('CE Min'!E312,0)</f>
        <v>0</v>
      </c>
      <c r="F58" s="182">
        <f t="shared" si="7"/>
        <v>0</v>
      </c>
      <c r="G58" s="162"/>
    </row>
    <row r="59" spans="1:7">
      <c r="A59" s="10">
        <v>3</v>
      </c>
      <c r="B59" s="11" t="s">
        <v>56</v>
      </c>
      <c r="C59" s="19"/>
      <c r="D59" s="188">
        <f t="shared" ref="D59:E59" si="11">SUM(D60:D62)</f>
        <v>10997532</v>
      </c>
      <c r="E59" s="188">
        <f t="shared" si="11"/>
        <v>12444029</v>
      </c>
      <c r="F59" s="184">
        <f t="shared" si="7"/>
        <v>-1446497</v>
      </c>
      <c r="G59" s="163">
        <f t="shared" si="9"/>
        <v>-0.11624024662751911</v>
      </c>
    </row>
    <row r="60" spans="1:7">
      <c r="A60" s="13"/>
      <c r="B60" s="15" t="s">
        <v>57</v>
      </c>
      <c r="C60" s="14"/>
      <c r="D60" s="180">
        <f>+ROUND('CE Min'!D314,0)</f>
        <v>10558137</v>
      </c>
      <c r="E60" s="180">
        <f>+ROUND('CE Min'!E314,0)</f>
        <v>11612904</v>
      </c>
      <c r="F60" s="182">
        <f t="shared" si="7"/>
        <v>-1054767</v>
      </c>
      <c r="G60" s="162">
        <f t="shared" si="9"/>
        <v>-9.0827152278189854E-2</v>
      </c>
    </row>
    <row r="61" spans="1:7">
      <c r="A61" s="13"/>
      <c r="B61" s="15" t="s">
        <v>58</v>
      </c>
      <c r="C61" s="60"/>
      <c r="D61" s="180">
        <f>+ROUND('CE Min'!D334,0)</f>
        <v>328653</v>
      </c>
      <c r="E61" s="180">
        <f>+ROUND('CE Min'!E334,0)</f>
        <v>728017</v>
      </c>
      <c r="F61" s="182">
        <f t="shared" si="7"/>
        <v>-399364</v>
      </c>
      <c r="G61" s="162">
        <f t="shared" si="9"/>
        <v>-0.54856411320065324</v>
      </c>
    </row>
    <row r="62" spans="1:7">
      <c r="A62" s="13"/>
      <c r="B62" s="15" t="s">
        <v>59</v>
      </c>
      <c r="C62" s="14"/>
      <c r="D62" s="180">
        <f>+ROUND('CE Min'!D348,0)</f>
        <v>110742</v>
      </c>
      <c r="E62" s="180">
        <f>+ROUND('CE Min'!E348,0)</f>
        <v>103108</v>
      </c>
      <c r="F62" s="182">
        <f t="shared" si="7"/>
        <v>7634</v>
      </c>
      <c r="G62" s="162">
        <f t="shared" si="9"/>
        <v>7.4038871862513095E-2</v>
      </c>
    </row>
    <row r="63" spans="1:7">
      <c r="A63" s="10">
        <v>4</v>
      </c>
      <c r="B63" s="20" t="s">
        <v>60</v>
      </c>
      <c r="C63" s="19"/>
      <c r="D63" s="188">
        <f>+ROUND('CE Min'!D351,0)</f>
        <v>1961873</v>
      </c>
      <c r="E63" s="188">
        <f>+ROUND('CE Min'!E351,0)-1</f>
        <v>1922652</v>
      </c>
      <c r="F63" s="184">
        <f t="shared" si="7"/>
        <v>39221</v>
      </c>
      <c r="G63" s="163">
        <f t="shared" si="9"/>
        <v>2.0399427457491008E-2</v>
      </c>
    </row>
    <row r="64" spans="1:7">
      <c r="A64" s="10">
        <v>5</v>
      </c>
      <c r="B64" s="11" t="s">
        <v>61</v>
      </c>
      <c r="C64" s="11"/>
      <c r="D64" s="188">
        <f>+ROUND('CE Min'!D359,0)+1</f>
        <v>893938</v>
      </c>
      <c r="E64" s="188">
        <f>+ROUND('CE Min'!E359,0)</f>
        <v>569258</v>
      </c>
      <c r="F64" s="184">
        <f t="shared" si="7"/>
        <v>324680</v>
      </c>
      <c r="G64" s="163">
        <f t="shared" si="9"/>
        <v>0.5703564991620671</v>
      </c>
    </row>
    <row r="65" spans="1:7">
      <c r="A65" s="10">
        <v>6</v>
      </c>
      <c r="B65" s="11" t="s">
        <v>62</v>
      </c>
      <c r="C65" s="19"/>
      <c r="D65" s="188">
        <f t="shared" ref="D65:E65" si="12">SUM(D66:D70)</f>
        <v>42971652</v>
      </c>
      <c r="E65" s="188">
        <f t="shared" si="12"/>
        <v>41842392</v>
      </c>
      <c r="F65" s="184">
        <f t="shared" si="7"/>
        <v>1129260</v>
      </c>
      <c r="G65" s="163">
        <f t="shared" si="9"/>
        <v>2.6988418826533626E-2</v>
      </c>
    </row>
    <row r="66" spans="1:7">
      <c r="A66" s="10"/>
      <c r="B66" s="14" t="s">
        <v>63</v>
      </c>
      <c r="C66" s="16"/>
      <c r="D66" s="180">
        <f>+ROUND('CE Min'!D372,0)</f>
        <v>14740585</v>
      </c>
      <c r="E66" s="180">
        <f>+ROUND('CE Min'!E372,0)</f>
        <v>14806024</v>
      </c>
      <c r="F66" s="182">
        <f t="shared" si="7"/>
        <v>-65439</v>
      </c>
      <c r="G66" s="162">
        <f t="shared" si="9"/>
        <v>-4.4197550942778425E-3</v>
      </c>
    </row>
    <row r="67" spans="1:7">
      <c r="A67" s="10"/>
      <c r="B67" s="14" t="s">
        <v>64</v>
      </c>
      <c r="C67" s="16"/>
      <c r="D67" s="180">
        <f>+ROUND('CE Min'!D376,0)</f>
        <v>1859320</v>
      </c>
      <c r="E67" s="180">
        <f>+ROUND('CE Min'!E376,0)</f>
        <v>1692585</v>
      </c>
      <c r="F67" s="182">
        <f t="shared" si="7"/>
        <v>166735</v>
      </c>
      <c r="G67" s="162">
        <f t="shared" si="9"/>
        <v>9.850908521580895E-2</v>
      </c>
    </row>
    <row r="68" spans="1:7">
      <c r="A68" s="10"/>
      <c r="B68" s="14" t="s">
        <v>65</v>
      </c>
      <c r="C68" s="16"/>
      <c r="D68" s="180">
        <f>+ROUND('CE Min'!D380,0)</f>
        <v>18555788</v>
      </c>
      <c r="E68" s="180">
        <f>+ROUND('CE Min'!E380,0)</f>
        <v>18151920</v>
      </c>
      <c r="F68" s="182">
        <f t="shared" si="7"/>
        <v>403868</v>
      </c>
      <c r="G68" s="162">
        <f t="shared" si="9"/>
        <v>2.2249326792978374E-2</v>
      </c>
    </row>
    <row r="69" spans="1:7">
      <c r="A69" s="13"/>
      <c r="B69" s="14" t="s">
        <v>66</v>
      </c>
      <c r="C69" s="16"/>
      <c r="D69" s="180">
        <f>+ROUND('CE Min'!D385+'CE Min'!D394+'CE Min'!D403,0)</f>
        <v>1033837</v>
      </c>
      <c r="E69" s="180">
        <f>+ROUND('CE Min'!E385+'CE Min'!E394+'CE Min'!E403,0)</f>
        <v>996243</v>
      </c>
      <c r="F69" s="182">
        <f t="shared" si="7"/>
        <v>37594</v>
      </c>
      <c r="G69" s="162">
        <f t="shared" si="9"/>
        <v>3.773577330028919E-2</v>
      </c>
    </row>
    <row r="70" spans="1:7">
      <c r="A70" s="13"/>
      <c r="B70" s="14" t="s">
        <v>67</v>
      </c>
      <c r="C70" s="16"/>
      <c r="D70" s="180">
        <f>+ROUND('CE Min'!D389+'CE Min'!D398+'CE Min'!D407,0)</f>
        <v>6782122</v>
      </c>
      <c r="E70" s="180">
        <f>+ROUND('CE Min'!E389+'CE Min'!E398+'CE Min'!E407,0)</f>
        <v>6195620</v>
      </c>
      <c r="F70" s="182">
        <f t="shared" si="7"/>
        <v>586502</v>
      </c>
      <c r="G70" s="162">
        <f t="shared" si="9"/>
        <v>9.4663972290101719E-2</v>
      </c>
    </row>
    <row r="71" spans="1:7">
      <c r="A71" s="10">
        <v>7</v>
      </c>
      <c r="B71" s="20" t="s">
        <v>68</v>
      </c>
      <c r="C71" s="11"/>
      <c r="D71" s="188">
        <f>+ROUND('CE Min'!D411,0)</f>
        <v>933093</v>
      </c>
      <c r="E71" s="188">
        <f>+ROUND('CE Min'!E411,0)</f>
        <v>840981</v>
      </c>
      <c r="F71" s="184">
        <f t="shared" si="7"/>
        <v>92112</v>
      </c>
      <c r="G71" s="163">
        <f t="shared" si="9"/>
        <v>0.10952922836544464</v>
      </c>
    </row>
    <row r="72" spans="1:7">
      <c r="A72" s="10">
        <v>8</v>
      </c>
      <c r="B72" s="20" t="s">
        <v>69</v>
      </c>
      <c r="C72" s="11"/>
      <c r="D72" s="188">
        <f t="shared" ref="D72:E72" si="13">SUM(D73:D75)</f>
        <v>3025842</v>
      </c>
      <c r="E72" s="188">
        <f t="shared" si="13"/>
        <v>2789739</v>
      </c>
      <c r="F72" s="184">
        <f t="shared" si="7"/>
        <v>236103</v>
      </c>
      <c r="G72" s="163">
        <f t="shared" si="9"/>
        <v>8.4632648430552099E-2</v>
      </c>
    </row>
    <row r="73" spans="1:7">
      <c r="A73" s="10"/>
      <c r="B73" s="14" t="s">
        <v>70</v>
      </c>
      <c r="C73" s="16"/>
      <c r="D73" s="180">
        <f>+ROUND('CE Min'!D420,0)</f>
        <v>15368</v>
      </c>
      <c r="E73" s="180">
        <f>+ROUND('CE Min'!E420,0)</f>
        <v>12733</v>
      </c>
      <c r="F73" s="182">
        <f t="shared" si="7"/>
        <v>2635</v>
      </c>
      <c r="G73" s="162">
        <f t="shared" si="9"/>
        <v>0.20694259012016022</v>
      </c>
    </row>
    <row r="74" spans="1:7">
      <c r="A74" s="10"/>
      <c r="B74" s="14" t="s">
        <v>71</v>
      </c>
      <c r="C74" s="16"/>
      <c r="D74" s="180">
        <f>+ROUND('CE Min'!D422,0)</f>
        <v>1041322</v>
      </c>
      <c r="E74" s="180">
        <f>+ROUND('CE Min'!E422,0)</f>
        <v>957735</v>
      </c>
      <c r="F74" s="182">
        <f t="shared" si="7"/>
        <v>83587</v>
      </c>
      <c r="G74" s="162">
        <f t="shared" si="9"/>
        <v>8.7275707789733065E-2</v>
      </c>
    </row>
    <row r="75" spans="1:7">
      <c r="A75" s="13"/>
      <c r="B75" s="14" t="s">
        <v>72</v>
      </c>
      <c r="C75" s="16"/>
      <c r="D75" s="180">
        <f>+ROUND('CE Min'!D425,0)</f>
        <v>1969152</v>
      </c>
      <c r="E75" s="180">
        <f>+ROUND('CE Min'!E425,0)-1</f>
        <v>1819271</v>
      </c>
      <c r="F75" s="182">
        <f t="shared" si="7"/>
        <v>149881</v>
      </c>
      <c r="G75" s="162">
        <f t="shared" si="9"/>
        <v>8.2385197147648706E-2</v>
      </c>
    </row>
    <row r="76" spans="1:7">
      <c r="A76" s="10">
        <v>9</v>
      </c>
      <c r="B76" s="20" t="s">
        <v>73</v>
      </c>
      <c r="C76" s="11"/>
      <c r="D76" s="188">
        <f>+ROUND('CE Min'!D426,0)</f>
        <v>312643</v>
      </c>
      <c r="E76" s="188">
        <f>+ROUND('CE Min'!E426,0)</f>
        <v>210613</v>
      </c>
      <c r="F76" s="184">
        <f t="shared" si="7"/>
        <v>102030</v>
      </c>
      <c r="G76" s="163">
        <f t="shared" si="9"/>
        <v>0.48444303058215782</v>
      </c>
    </row>
    <row r="77" spans="1:7">
      <c r="A77" s="10">
        <v>10</v>
      </c>
      <c r="B77" s="11" t="s">
        <v>74</v>
      </c>
      <c r="C77" s="19"/>
      <c r="D77" s="188">
        <f t="shared" ref="D77:E77" si="14">SUM(D78:D79)</f>
        <v>-219696</v>
      </c>
      <c r="E77" s="188">
        <f t="shared" si="14"/>
        <v>-83386</v>
      </c>
      <c r="F77" s="184">
        <f t="shared" si="7"/>
        <v>-136310</v>
      </c>
      <c r="G77" s="163">
        <f t="shared" si="9"/>
        <v>1.6346868778931716</v>
      </c>
    </row>
    <row r="78" spans="1:7">
      <c r="A78" s="10"/>
      <c r="B78" s="14" t="s">
        <v>75</v>
      </c>
      <c r="C78" s="16"/>
      <c r="D78" s="180">
        <f>+ROUND('CE Min'!D430,0)</f>
        <v>-221458</v>
      </c>
      <c r="E78" s="180">
        <f>+ROUND('CE Min'!E430,0)</f>
        <v>-63216</v>
      </c>
      <c r="F78" s="182">
        <f t="shared" si="7"/>
        <v>-158242</v>
      </c>
      <c r="G78" s="162">
        <f t="shared" si="9"/>
        <v>2.5031953935712479</v>
      </c>
    </row>
    <row r="79" spans="1:7">
      <c r="A79" s="10"/>
      <c r="B79" s="14" t="s">
        <v>76</v>
      </c>
      <c r="C79" s="16"/>
      <c r="D79" s="180">
        <f>+ROUND('CE Min'!D439,0)</f>
        <v>1762</v>
      </c>
      <c r="E79" s="180">
        <f>+ROUND('CE Min'!E439,0)</f>
        <v>-20170</v>
      </c>
      <c r="F79" s="182">
        <f t="shared" si="7"/>
        <v>21932</v>
      </c>
      <c r="G79" s="162">
        <f t="shared" si="9"/>
        <v>-1.0873574615765988</v>
      </c>
    </row>
    <row r="80" spans="1:7">
      <c r="A80" s="10">
        <v>11</v>
      </c>
      <c r="B80" s="11" t="s">
        <v>77</v>
      </c>
      <c r="C80" s="19"/>
      <c r="D80" s="188">
        <f t="shared" ref="D80:E80" si="15">SUM(D81:D84)</f>
        <v>5352623</v>
      </c>
      <c r="E80" s="188">
        <f t="shared" si="15"/>
        <v>10304137</v>
      </c>
      <c r="F80" s="184">
        <f t="shared" si="7"/>
        <v>-4951514</v>
      </c>
      <c r="G80" s="163">
        <f t="shared" si="9"/>
        <v>-0.48053650684186361</v>
      </c>
    </row>
    <row r="81" spans="1:7">
      <c r="A81" s="10"/>
      <c r="B81" s="14" t="s">
        <v>78</v>
      </c>
      <c r="C81" s="12"/>
      <c r="D81" s="180">
        <f>+ROUND('CE Min'!D447,0)</f>
        <v>30609</v>
      </c>
      <c r="E81" s="180">
        <f>+ROUND('CE Min'!E447,0)</f>
        <v>917660</v>
      </c>
      <c r="F81" s="182">
        <f t="shared" si="7"/>
        <v>-887051</v>
      </c>
      <c r="G81" s="162">
        <f t="shared" si="9"/>
        <v>-0.96664450885949049</v>
      </c>
    </row>
    <row r="82" spans="1:7">
      <c r="A82" s="10"/>
      <c r="B82" s="14" t="s">
        <v>79</v>
      </c>
      <c r="C82" s="12"/>
      <c r="D82" s="180">
        <f>+ROUND('CE Min'!D455,0)</f>
        <v>0</v>
      </c>
      <c r="E82" s="180">
        <f>+ROUND('CE Min'!E455,0)</f>
        <v>0</v>
      </c>
      <c r="F82" s="182">
        <f t="shared" si="7"/>
        <v>0</v>
      </c>
      <c r="G82" s="162"/>
    </row>
    <row r="83" spans="1:7">
      <c r="A83" s="10"/>
      <c r="B83" s="14" t="s">
        <v>80</v>
      </c>
      <c r="C83" s="12"/>
      <c r="D83" s="180">
        <f>+ROUND('CE Min'!D456,0)</f>
        <v>4120039</v>
      </c>
      <c r="E83" s="180">
        <f>+ROUND('CE Min'!E456,0)</f>
        <v>8621523</v>
      </c>
      <c r="F83" s="182">
        <f t="shared" si="7"/>
        <v>-4501484</v>
      </c>
      <c r="G83" s="162">
        <f t="shared" si="9"/>
        <v>-0.52212167154225531</v>
      </c>
    </row>
    <row r="84" spans="1:7">
      <c r="A84" s="10"/>
      <c r="B84" s="14" t="s">
        <v>81</v>
      </c>
      <c r="C84" s="12"/>
      <c r="D84" s="180">
        <f>+ROUND('CE Min'!D463,0)</f>
        <v>1201975</v>
      </c>
      <c r="E84" s="180">
        <f>+ROUND('CE Min'!E463,0)</f>
        <v>764954</v>
      </c>
      <c r="F84" s="182">
        <f t="shared" si="7"/>
        <v>437021</v>
      </c>
      <c r="G84" s="162">
        <f t="shared" si="9"/>
        <v>0.57130363394400185</v>
      </c>
    </row>
    <row r="85" spans="1:7">
      <c r="A85" s="233" t="s">
        <v>82</v>
      </c>
      <c r="B85" s="234"/>
      <c r="C85" s="234"/>
      <c r="D85" s="185">
        <f t="shared" ref="D85:E85" si="16">D38+D41+D63+D64+D65+D71+D72+D76+D77+D80+D59</f>
        <v>89099637</v>
      </c>
      <c r="E85" s="185">
        <f t="shared" si="16"/>
        <v>92791292</v>
      </c>
      <c r="F85" s="186">
        <f t="shared" si="7"/>
        <v>-3691655</v>
      </c>
      <c r="G85" s="145">
        <f t="shared" si="9"/>
        <v>-3.9784498312621833E-2</v>
      </c>
    </row>
    <row r="86" spans="1:7" ht="13.5" thickBot="1">
      <c r="A86" s="21"/>
      <c r="B86" s="22"/>
      <c r="C86" s="23"/>
      <c r="D86" s="189"/>
      <c r="E86" s="189"/>
      <c r="F86" s="190"/>
      <c r="G86" s="164"/>
    </row>
    <row r="87" spans="1:7" ht="13.5" thickBot="1">
      <c r="A87" s="235" t="s">
        <v>83</v>
      </c>
      <c r="B87" s="236"/>
      <c r="C87" s="236"/>
      <c r="D87" s="191">
        <f t="shared" ref="D87:E87" si="17">+D35-D85</f>
        <v>6521963</v>
      </c>
      <c r="E87" s="191">
        <f t="shared" si="17"/>
        <v>1936673</v>
      </c>
      <c r="F87" s="192">
        <f>+D87-E87</f>
        <v>4585290</v>
      </c>
      <c r="G87" s="146">
        <f>+F87/E87</f>
        <v>2.3676118787219114</v>
      </c>
    </row>
    <row r="88" spans="1:7">
      <c r="A88" s="24"/>
      <c r="B88" s="25"/>
      <c r="C88" s="26"/>
      <c r="D88" s="187"/>
      <c r="E88" s="187"/>
      <c r="F88" s="182"/>
      <c r="G88" s="162"/>
    </row>
    <row r="89" spans="1:7">
      <c r="A89" s="10" t="s">
        <v>84</v>
      </c>
      <c r="B89" s="11" t="s">
        <v>85</v>
      </c>
      <c r="C89" s="19"/>
      <c r="D89" s="188"/>
      <c r="E89" s="188"/>
      <c r="F89" s="184"/>
      <c r="G89" s="163"/>
    </row>
    <row r="90" spans="1:7">
      <c r="A90" s="27"/>
      <c r="B90" s="4" t="s">
        <v>86</v>
      </c>
      <c r="C90" s="28" t="s">
        <v>87</v>
      </c>
      <c r="D90" s="183">
        <f>+ROUND('CE Min'!D476+'CE Min'!D480,0)</f>
        <v>761</v>
      </c>
      <c r="E90" s="183">
        <f>+ROUND('CE Min'!E476+'CE Min'!E480,0)</f>
        <v>1</v>
      </c>
      <c r="F90" s="184">
        <f t="shared" ref="F90:F92" si="18">+D90-E90</f>
        <v>760</v>
      </c>
      <c r="G90" s="163">
        <f t="shared" ref="G90:G92" si="19">+F90/E90</f>
        <v>760</v>
      </c>
    </row>
    <row r="91" spans="1:7">
      <c r="A91" s="27"/>
      <c r="B91" s="4" t="s">
        <v>88</v>
      </c>
      <c r="C91" s="28" t="s">
        <v>89</v>
      </c>
      <c r="D91" s="183">
        <f>+ROUND('CE Min'!D486+'CE Min'!D490,0)</f>
        <v>0</v>
      </c>
      <c r="E91" s="183">
        <f>+ROUND('CE Min'!E486+'CE Min'!E490,0)</f>
        <v>0</v>
      </c>
      <c r="F91" s="184">
        <f t="shared" si="18"/>
        <v>0</v>
      </c>
      <c r="G91" s="163"/>
    </row>
    <row r="92" spans="1:7">
      <c r="A92" s="233" t="s">
        <v>90</v>
      </c>
      <c r="B92" s="234"/>
      <c r="C92" s="234" t="s">
        <v>91</v>
      </c>
      <c r="D92" s="185">
        <f t="shared" ref="D92:E92" si="20">+D90-D91</f>
        <v>761</v>
      </c>
      <c r="E92" s="185">
        <f t="shared" si="20"/>
        <v>1</v>
      </c>
      <c r="F92" s="186">
        <f t="shared" si="18"/>
        <v>760</v>
      </c>
      <c r="G92" s="145">
        <f t="shared" si="19"/>
        <v>760</v>
      </c>
    </row>
    <row r="93" spans="1:7">
      <c r="A93" s="27"/>
      <c r="B93" s="29"/>
      <c r="C93" s="11"/>
      <c r="D93" s="188"/>
      <c r="E93" s="188"/>
      <c r="F93" s="184"/>
      <c r="G93" s="163"/>
    </row>
    <row r="94" spans="1:7">
      <c r="A94" s="10" t="s">
        <v>92</v>
      </c>
      <c r="B94" s="11" t="s">
        <v>93</v>
      </c>
      <c r="C94" s="11"/>
      <c r="D94" s="188"/>
      <c r="E94" s="188"/>
      <c r="F94" s="184"/>
      <c r="G94" s="163"/>
    </row>
    <row r="95" spans="1:7">
      <c r="A95" s="27"/>
      <c r="B95" s="4" t="s">
        <v>86</v>
      </c>
      <c r="C95" s="11" t="s">
        <v>94</v>
      </c>
      <c r="D95" s="183">
        <f>+ROUND(+'CE Min'!D495,0)</f>
        <v>0</v>
      </c>
      <c r="E95" s="183">
        <f>+ROUND(+'CE Min'!E495,0)</f>
        <v>0</v>
      </c>
      <c r="F95" s="184">
        <f t="shared" ref="F95:F97" si="21">+D95-E95</f>
        <v>0</v>
      </c>
      <c r="G95" s="163"/>
    </row>
    <row r="96" spans="1:7">
      <c r="A96" s="27"/>
      <c r="B96" s="4" t="s">
        <v>88</v>
      </c>
      <c r="C96" s="11" t="s">
        <v>95</v>
      </c>
      <c r="D96" s="183">
        <f>+ROUND(+'CE Min'!D496,0)</f>
        <v>0</v>
      </c>
      <c r="E96" s="183">
        <f>+ROUND(+'CE Min'!E496,0)</f>
        <v>0</v>
      </c>
      <c r="F96" s="184">
        <f t="shared" si="21"/>
        <v>0</v>
      </c>
      <c r="G96" s="163"/>
    </row>
    <row r="97" spans="1:7">
      <c r="A97" s="233" t="s">
        <v>96</v>
      </c>
      <c r="B97" s="234"/>
      <c r="C97" s="234" t="s">
        <v>91</v>
      </c>
      <c r="D97" s="185">
        <f t="shared" ref="D97:E97" si="22">D95-D96</f>
        <v>0</v>
      </c>
      <c r="E97" s="185">
        <f t="shared" si="22"/>
        <v>0</v>
      </c>
      <c r="F97" s="186">
        <f t="shared" si="21"/>
        <v>0</v>
      </c>
      <c r="G97" s="145"/>
    </row>
    <row r="98" spans="1:7">
      <c r="A98" s="27"/>
      <c r="B98" s="29"/>
      <c r="C98" s="11"/>
      <c r="D98" s="193"/>
      <c r="E98" s="193"/>
      <c r="F98" s="194"/>
      <c r="G98" s="165"/>
    </row>
    <row r="99" spans="1:7">
      <c r="A99" s="10" t="s">
        <v>97</v>
      </c>
      <c r="B99" s="11" t="s">
        <v>98</v>
      </c>
      <c r="C99" s="19"/>
      <c r="D99" s="193"/>
      <c r="E99" s="193"/>
      <c r="F99" s="194"/>
      <c r="G99" s="165"/>
    </row>
    <row r="100" spans="1:7">
      <c r="A100" s="10"/>
      <c r="B100" s="4">
        <v>1</v>
      </c>
      <c r="C100" s="28" t="s">
        <v>99</v>
      </c>
      <c r="D100" s="193">
        <f t="shared" ref="D100:E100" si="23">SUM(D101:D102)</f>
        <v>642915</v>
      </c>
      <c r="E100" s="193">
        <f t="shared" si="23"/>
        <v>1396100</v>
      </c>
      <c r="F100" s="194">
        <f t="shared" ref="F100:F106" si="24">+D100-E100</f>
        <v>-753185</v>
      </c>
      <c r="G100" s="165">
        <f t="shared" ref="G100:G106" si="25">+F100/E100</f>
        <v>-0.53949215672229778</v>
      </c>
    </row>
    <row r="101" spans="1:7">
      <c r="A101" s="10"/>
      <c r="B101" s="4"/>
      <c r="C101" s="14" t="s">
        <v>100</v>
      </c>
      <c r="D101" s="180">
        <f>+ROUND(+'CE Min'!D500,0)</f>
        <v>0</v>
      </c>
      <c r="E101" s="180">
        <f>+ROUND(+'CE Min'!E500,0)</f>
        <v>0</v>
      </c>
      <c r="F101" s="177">
        <f t="shared" si="24"/>
        <v>0</v>
      </c>
      <c r="G101" s="166"/>
    </row>
    <row r="102" spans="1:7">
      <c r="A102" s="10"/>
      <c r="B102" s="4"/>
      <c r="C102" s="14" t="s">
        <v>101</v>
      </c>
      <c r="D102" s="180">
        <f>+ROUND('CE Min'!D501,0)</f>
        <v>642915</v>
      </c>
      <c r="E102" s="180">
        <f>+ROUND('CE Min'!E501,0)</f>
        <v>1396100</v>
      </c>
      <c r="F102" s="177">
        <f t="shared" si="24"/>
        <v>-753185</v>
      </c>
      <c r="G102" s="166">
        <f t="shared" si="25"/>
        <v>-0.53949215672229778</v>
      </c>
    </row>
    <row r="103" spans="1:7">
      <c r="A103" s="10"/>
      <c r="B103" s="4">
        <v>2</v>
      </c>
      <c r="C103" s="11" t="s">
        <v>102</v>
      </c>
      <c r="D103" s="193">
        <f t="shared" ref="D103:E103" si="26">SUM(D104:D105)</f>
        <v>3928445</v>
      </c>
      <c r="E103" s="193">
        <f t="shared" si="26"/>
        <v>314459</v>
      </c>
      <c r="F103" s="194">
        <f t="shared" si="24"/>
        <v>3613986</v>
      </c>
      <c r="G103" s="165">
        <f t="shared" si="25"/>
        <v>11.492709701423715</v>
      </c>
    </row>
    <row r="104" spans="1:7">
      <c r="A104" s="10"/>
      <c r="B104" s="4"/>
      <c r="C104" s="14" t="s">
        <v>103</v>
      </c>
      <c r="D104" s="180">
        <f>+ROUND(+'CE Min'!D526,0)</f>
        <v>3391</v>
      </c>
      <c r="E104" s="180">
        <f>+ROUND(+'CE Min'!E526,0)</f>
        <v>0</v>
      </c>
      <c r="F104" s="195">
        <f t="shared" si="24"/>
        <v>3391</v>
      </c>
      <c r="G104" s="167"/>
    </row>
    <row r="105" spans="1:7">
      <c r="A105" s="10"/>
      <c r="B105" s="4"/>
      <c r="C105" s="14" t="s">
        <v>104</v>
      </c>
      <c r="D105" s="180">
        <f>+ROUND('CE Min'!D527,0)</f>
        <v>3925054</v>
      </c>
      <c r="E105" s="180">
        <f>+ROUND('CE Min'!E527,0)</f>
        <v>314459</v>
      </c>
      <c r="F105" s="195">
        <f t="shared" si="24"/>
        <v>3610595</v>
      </c>
      <c r="G105" s="167">
        <f t="shared" si="25"/>
        <v>11.481926101653952</v>
      </c>
    </row>
    <row r="106" spans="1:7">
      <c r="A106" s="233" t="s">
        <v>105</v>
      </c>
      <c r="B106" s="234"/>
      <c r="C106" s="234" t="s">
        <v>106</v>
      </c>
      <c r="D106" s="196">
        <f t="shared" ref="D106:E106" si="27">D100-D103</f>
        <v>-3285530</v>
      </c>
      <c r="E106" s="196">
        <f t="shared" si="27"/>
        <v>1081641</v>
      </c>
      <c r="F106" s="197">
        <f t="shared" si="24"/>
        <v>-4367171</v>
      </c>
      <c r="G106" s="147">
        <f t="shared" si="25"/>
        <v>-4.0375420310435715</v>
      </c>
    </row>
    <row r="107" spans="1:7" ht="13.5" thickBot="1">
      <c r="A107" s="30"/>
      <c r="B107" s="31"/>
      <c r="C107" s="32"/>
      <c r="D107" s="198"/>
      <c r="E107" s="198"/>
      <c r="F107" s="199"/>
      <c r="G107" s="168"/>
    </row>
    <row r="108" spans="1:7" ht="13.5" thickBot="1">
      <c r="A108" s="235" t="s">
        <v>107</v>
      </c>
      <c r="B108" s="236"/>
      <c r="C108" s="236"/>
      <c r="D108" s="200">
        <f t="shared" ref="D108:E108" si="28">D87+D92+D97+D106</f>
        <v>3237194</v>
      </c>
      <c r="E108" s="200">
        <f t="shared" si="28"/>
        <v>3018315</v>
      </c>
      <c r="F108" s="201">
        <f>+D108-E108</f>
        <v>218879</v>
      </c>
      <c r="G108" s="148">
        <f>+F108/E108</f>
        <v>7.2516950682748493E-2</v>
      </c>
    </row>
    <row r="109" spans="1:7">
      <c r="A109" s="13"/>
      <c r="B109" s="17"/>
      <c r="C109" s="33"/>
      <c r="D109" s="202"/>
      <c r="E109" s="202"/>
      <c r="F109" s="195"/>
      <c r="G109" s="167"/>
    </row>
    <row r="110" spans="1:7">
      <c r="A110" s="10" t="s">
        <v>108</v>
      </c>
      <c r="B110" s="11" t="s">
        <v>109</v>
      </c>
      <c r="C110" s="19"/>
      <c r="D110" s="193"/>
      <c r="E110" s="193"/>
      <c r="F110" s="194"/>
      <c r="G110" s="165"/>
    </row>
    <row r="111" spans="1:7">
      <c r="A111" s="10"/>
      <c r="B111" s="4" t="s">
        <v>86</v>
      </c>
      <c r="C111" s="28" t="s">
        <v>110</v>
      </c>
      <c r="D111" s="193">
        <f t="shared" ref="D111:E111" si="29">SUM(D112:D115)</f>
        <v>3071671</v>
      </c>
      <c r="E111" s="193">
        <f t="shared" si="29"/>
        <v>2988065</v>
      </c>
      <c r="F111" s="194">
        <f t="shared" ref="F111:F118" si="30">+D111-E111</f>
        <v>83606</v>
      </c>
      <c r="G111" s="165">
        <f t="shared" ref="G111:G118" si="31">+F111/E111</f>
        <v>2.7979980355179689E-2</v>
      </c>
    </row>
    <row r="112" spans="1:7">
      <c r="A112" s="13"/>
      <c r="B112" s="15"/>
      <c r="C112" s="14" t="s">
        <v>111</v>
      </c>
      <c r="D112" s="180">
        <f>+ROUND(+'CE Min'!D561,0)</f>
        <v>2853938</v>
      </c>
      <c r="E112" s="180">
        <f>+ROUND(+'CE Min'!E561,0)</f>
        <v>2786515</v>
      </c>
      <c r="F112" s="177">
        <f t="shared" si="30"/>
        <v>67423</v>
      </c>
      <c r="G112" s="166">
        <f t="shared" si="31"/>
        <v>2.4196173356325016E-2</v>
      </c>
    </row>
    <row r="113" spans="1:7">
      <c r="A113" s="13"/>
      <c r="B113" s="15"/>
      <c r="C113" s="14" t="s">
        <v>112</v>
      </c>
      <c r="D113" s="180">
        <f>+ROUND(+'CE Min'!D562,0)</f>
        <v>147543</v>
      </c>
      <c r="E113" s="180">
        <f>+ROUND(+'CE Min'!E562,0)</f>
        <v>138841</v>
      </c>
      <c r="F113" s="177">
        <f t="shared" si="30"/>
        <v>8702</v>
      </c>
      <c r="G113" s="166">
        <f t="shared" si="31"/>
        <v>6.2676010688485384E-2</v>
      </c>
    </row>
    <row r="114" spans="1:7">
      <c r="A114" s="13"/>
      <c r="B114" s="15"/>
      <c r="C114" s="14" t="s">
        <v>113</v>
      </c>
      <c r="D114" s="180">
        <f>+ROUND(+'CE Min'!D563,0)</f>
        <v>70190</v>
      </c>
      <c r="E114" s="180">
        <f>+ROUND(+'CE Min'!E563,0)</f>
        <v>62709</v>
      </c>
      <c r="F114" s="177">
        <f t="shared" si="30"/>
        <v>7481</v>
      </c>
      <c r="G114" s="166">
        <f t="shared" si="31"/>
        <v>0.11929707059592722</v>
      </c>
    </row>
    <row r="115" spans="1:7">
      <c r="A115" s="13"/>
      <c r="B115" s="15"/>
      <c r="C115" s="14" t="s">
        <v>114</v>
      </c>
      <c r="D115" s="180">
        <f>+ROUND(+'CE Min'!D564,0)</f>
        <v>0</v>
      </c>
      <c r="E115" s="180">
        <f>+ROUND(+'CE Min'!E564,0)</f>
        <v>0</v>
      </c>
      <c r="F115" s="177">
        <f t="shared" si="30"/>
        <v>0</v>
      </c>
      <c r="G115" s="166"/>
    </row>
    <row r="116" spans="1:7">
      <c r="A116" s="10"/>
      <c r="B116" s="4" t="s">
        <v>88</v>
      </c>
      <c r="C116" s="11" t="s">
        <v>115</v>
      </c>
      <c r="D116" s="188">
        <f>+ROUND(+'CE Min'!D565,0)</f>
        <v>18407</v>
      </c>
      <c r="E116" s="188">
        <f>+ROUND(+'CE Min'!E565,0)</f>
        <v>17835</v>
      </c>
      <c r="F116" s="194">
        <f t="shared" si="30"/>
        <v>572</v>
      </c>
      <c r="G116" s="165">
        <f t="shared" si="31"/>
        <v>3.2071768993552005E-2</v>
      </c>
    </row>
    <row r="117" spans="1:7">
      <c r="A117" s="10"/>
      <c r="B117" s="4" t="s">
        <v>116</v>
      </c>
      <c r="C117" s="34" t="s">
        <v>117</v>
      </c>
      <c r="D117" s="188">
        <f>+ROUND(+'CE Min'!D568,0)</f>
        <v>0</v>
      </c>
      <c r="E117" s="188">
        <f>+ROUND(+'CE Min'!E568,0)</f>
        <v>0</v>
      </c>
      <c r="F117" s="203">
        <f t="shared" si="30"/>
        <v>0</v>
      </c>
      <c r="G117" s="169"/>
    </row>
    <row r="118" spans="1:7">
      <c r="A118" s="233" t="s">
        <v>118</v>
      </c>
      <c r="B118" s="234"/>
      <c r="C118" s="234"/>
      <c r="D118" s="196">
        <f t="shared" ref="D118:E118" si="32">D111+D116+D117</f>
        <v>3090078</v>
      </c>
      <c r="E118" s="196">
        <f t="shared" si="32"/>
        <v>3005900</v>
      </c>
      <c r="F118" s="197">
        <f t="shared" si="30"/>
        <v>84178</v>
      </c>
      <c r="G118" s="147">
        <f t="shared" si="31"/>
        <v>2.8004258292025682E-2</v>
      </c>
    </row>
    <row r="119" spans="1:7">
      <c r="A119" s="13"/>
      <c r="B119" s="17"/>
      <c r="C119" s="12"/>
      <c r="D119" s="195"/>
      <c r="E119" s="195"/>
      <c r="F119" s="195"/>
      <c r="G119" s="167"/>
    </row>
    <row r="120" spans="1:7" ht="13.5" thickBot="1">
      <c r="A120" s="35" t="s">
        <v>119</v>
      </c>
      <c r="B120" s="36"/>
      <c r="C120" s="37"/>
      <c r="D120" s="204">
        <f t="shared" ref="D120:E120" si="33">D108-D118</f>
        <v>147116</v>
      </c>
      <c r="E120" s="204">
        <f t="shared" si="33"/>
        <v>12415</v>
      </c>
      <c r="F120" s="204">
        <f>+D120-E120</f>
        <v>134701</v>
      </c>
      <c r="G120" s="170">
        <f>+F120/E120</f>
        <v>10.849859041482079</v>
      </c>
    </row>
    <row r="121" spans="1:7">
      <c r="F121" s="238"/>
    </row>
    <row r="122" spans="1:7">
      <c r="A122" s="38"/>
      <c r="B122" s="38"/>
      <c r="C122" s="38"/>
      <c r="D122" s="39"/>
      <c r="E122" s="39"/>
      <c r="F122" s="39"/>
      <c r="G122" s="325"/>
    </row>
    <row r="123" spans="1:7">
      <c r="F123" s="238"/>
    </row>
    <row r="124" spans="1:7">
      <c r="F124" s="238"/>
    </row>
    <row r="125" spans="1:7">
      <c r="C125" s="38"/>
      <c r="D125" s="39"/>
      <c r="E125" s="39"/>
      <c r="F125" s="238"/>
      <c r="G125" s="326"/>
    </row>
    <row r="126" spans="1:7">
      <c r="F126" s="238"/>
    </row>
    <row r="127" spans="1:7">
      <c r="F127" s="238"/>
    </row>
    <row r="130" spans="7:7">
      <c r="G130" s="327"/>
    </row>
  </sheetData>
  <mergeCells count="6">
    <mergeCell ref="A2:C2"/>
    <mergeCell ref="F2:G2"/>
    <mergeCell ref="A4:C4"/>
    <mergeCell ref="F4:G4"/>
    <mergeCell ref="D4:D5"/>
    <mergeCell ref="E4:E5"/>
  </mergeCells>
  <printOptions horizontalCentered="1"/>
  <pageMargins left="0.59055118110236227" right="0.59055118110236227" top="0.59055118110236227" bottom="0.59055118110236227" header="0" footer="0"/>
  <pageSetup paperSize="9" scale="10" fitToHeight="2" orientation="portrait" r:id="rId1"/>
  <rowBreaks count="1" manualBreakCount="1">
    <brk id="8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33"/>
  <sheetViews>
    <sheetView showGridLines="0" topLeftCell="A303" zoomScaleNormal="100" workbookViewId="0">
      <selection activeCell="D320" activeCellId="6" sqref="D351 D348 D330 D327 D317 D315:D316 D320:D326"/>
    </sheetView>
  </sheetViews>
  <sheetFormatPr defaultColWidth="16.7109375" defaultRowHeight="12.75"/>
  <cols>
    <col min="1" max="1" width="8.5703125" customWidth="1"/>
    <col min="3" max="3" width="92.7109375" customWidth="1"/>
    <col min="4" max="4" width="22.140625" customWidth="1"/>
    <col min="5" max="5" width="20" customWidth="1"/>
    <col min="6" max="6" width="5" customWidth="1"/>
    <col min="7" max="7" width="4.7109375" customWidth="1"/>
    <col min="8" max="8" width="5.140625" customWidth="1"/>
    <col min="10" max="10" width="7" customWidth="1"/>
    <col min="11" max="11" width="7.28515625" customWidth="1"/>
    <col min="12" max="12" width="13.28515625" customWidth="1"/>
    <col min="13" max="13" width="8.5703125" hidden="1" customWidth="1"/>
    <col min="14" max="14" width="16.7109375" hidden="1" customWidth="1"/>
    <col min="15" max="15" width="1.28515625" customWidth="1"/>
    <col min="16" max="16" width="16.7109375" hidden="1" customWidth="1"/>
    <col min="18" max="18" width="3.85546875" customWidth="1"/>
    <col min="19" max="19" width="3" customWidth="1"/>
    <col min="20" max="20" width="3.140625" customWidth="1"/>
    <col min="21" max="21" width="4" customWidth="1"/>
    <col min="22" max="22" width="2.42578125" customWidth="1"/>
    <col min="23" max="23" width="2" customWidth="1"/>
    <col min="24" max="24" width="3.85546875" customWidth="1"/>
    <col min="25" max="25" width="1.28515625" customWidth="1"/>
    <col min="26" max="26" width="3.42578125" customWidth="1"/>
    <col min="27" max="27" width="2.7109375" customWidth="1"/>
    <col min="28" max="28" width="3.85546875" customWidth="1"/>
    <col min="29" max="29" width="3.42578125" customWidth="1"/>
  </cols>
  <sheetData>
    <row r="1" spans="1:31" ht="79.900000000000006" customHeight="1"/>
    <row r="2" spans="1:31" ht="79.900000000000006" customHeight="1"/>
    <row r="3" spans="1:31" ht="79.900000000000006" customHeight="1"/>
    <row r="4" spans="1:31" s="63" customFormat="1" ht="18">
      <c r="A4" s="67"/>
      <c r="B4" s="68"/>
      <c r="C4" s="68"/>
      <c r="D4" s="397"/>
      <c r="E4" s="39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5"/>
      <c r="AE4" s="66"/>
    </row>
    <row r="5" spans="1:31" s="398" customFormat="1" ht="18.75" thickBot="1">
      <c r="A5" s="70"/>
      <c r="B5" s="71"/>
      <c r="C5" s="71"/>
      <c r="D5" s="401" t="s">
        <v>3456</v>
      </c>
      <c r="E5" s="397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Z5" s="399"/>
      <c r="AA5" s="399"/>
      <c r="AB5" s="399"/>
      <c r="AC5" s="399"/>
      <c r="AD5" s="400"/>
      <c r="AE5" s="72"/>
    </row>
    <row r="6" spans="1:31" s="256" customFormat="1" ht="26.25" thickBot="1">
      <c r="A6" s="217" t="s">
        <v>1502</v>
      </c>
      <c r="B6" s="73" t="s">
        <v>1503</v>
      </c>
      <c r="C6" s="323" t="s">
        <v>1504</v>
      </c>
      <c r="D6" s="396" t="s">
        <v>3455</v>
      </c>
      <c r="E6" s="254" t="s">
        <v>3454</v>
      </c>
      <c r="F6" s="75"/>
      <c r="G6" s="255"/>
      <c r="H6" s="74"/>
      <c r="I6" s="74"/>
      <c r="J6" s="74"/>
      <c r="K6" s="74"/>
      <c r="L6" s="74"/>
      <c r="M6" s="74"/>
      <c r="N6" s="74"/>
      <c r="O6" s="74"/>
      <c r="P6"/>
      <c r="Q6"/>
      <c r="R6"/>
      <c r="S6"/>
      <c r="T6"/>
      <c r="U6"/>
      <c r="V6"/>
      <c r="W6"/>
      <c r="X6"/>
      <c r="Y6"/>
      <c r="Z6"/>
      <c r="AA6" s="75"/>
      <c r="AB6" s="75"/>
      <c r="AD6" s="257"/>
    </row>
    <row r="7" spans="1:31" ht="18.75">
      <c r="A7" s="218"/>
      <c r="B7" s="108"/>
      <c r="C7" s="109" t="s">
        <v>2104</v>
      </c>
      <c r="D7" s="110"/>
      <c r="E7" s="110"/>
      <c r="F7" s="65"/>
      <c r="G7" s="228"/>
    </row>
    <row r="8" spans="1:31" ht="18.75">
      <c r="A8" s="219"/>
      <c r="B8" s="111" t="s">
        <v>1505</v>
      </c>
      <c r="C8" s="112" t="s">
        <v>1506</v>
      </c>
      <c r="D8" s="113">
        <f t="shared" ref="D8:E8" si="0">(D9+D18+D33+D38)</f>
        <v>44719575.439999998</v>
      </c>
      <c r="E8" s="113">
        <f t="shared" si="0"/>
        <v>48996816.019999996</v>
      </c>
      <c r="F8" s="65" t="s">
        <v>2110</v>
      </c>
      <c r="G8" s="228"/>
      <c r="J8" s="76"/>
    </row>
    <row r="9" spans="1:31" ht="18.75">
      <c r="A9" s="220"/>
      <c r="B9" s="106" t="s">
        <v>1507</v>
      </c>
      <c r="C9" s="107" t="s">
        <v>1508</v>
      </c>
      <c r="D9" s="105">
        <f t="shared" ref="D9:E9" si="1">+D10+D17</f>
        <v>27074637.73</v>
      </c>
      <c r="E9" s="105">
        <f t="shared" si="1"/>
        <v>38083927.299999997</v>
      </c>
      <c r="F9" s="65" t="s">
        <v>2110</v>
      </c>
      <c r="G9" s="228"/>
      <c r="H9" s="80"/>
      <c r="J9" s="76"/>
      <c r="L9" s="80"/>
    </row>
    <row r="10" spans="1:31" ht="18.75">
      <c r="A10" s="219"/>
      <c r="B10" s="117" t="s">
        <v>132</v>
      </c>
      <c r="C10" s="118" t="s">
        <v>1509</v>
      </c>
      <c r="D10" s="119">
        <f t="shared" ref="D10:E10" si="2">+D11+D12+D13+D16</f>
        <v>27074637.73</v>
      </c>
      <c r="E10" s="119">
        <f t="shared" si="2"/>
        <v>35512661.68</v>
      </c>
      <c r="F10" s="65" t="s">
        <v>2110</v>
      </c>
      <c r="G10" s="228"/>
      <c r="H10" s="80"/>
      <c r="J10" s="76"/>
      <c r="L10" s="80"/>
    </row>
    <row r="11" spans="1:31" ht="18.75">
      <c r="A11" s="219"/>
      <c r="B11" s="85" t="s">
        <v>133</v>
      </c>
      <c r="C11" s="86" t="s">
        <v>1510</v>
      </c>
      <c r="D11" s="79">
        <f>'Alimentazione CE Ricavi'!K6</f>
        <v>14488784.33</v>
      </c>
      <c r="E11" s="79">
        <f>'Alimentazione CE Ricavi'!L6</f>
        <v>9928612.3800000008</v>
      </c>
      <c r="F11" s="65"/>
      <c r="G11" s="228"/>
      <c r="H11" s="80"/>
      <c r="J11" s="76"/>
      <c r="L11" s="80"/>
    </row>
    <row r="12" spans="1:31" ht="18.75">
      <c r="A12" s="219"/>
      <c r="B12" s="85" t="s">
        <v>135</v>
      </c>
      <c r="C12" s="86" t="s">
        <v>1511</v>
      </c>
      <c r="D12" s="79">
        <f>'Alimentazione CE Ricavi'!K7</f>
        <v>5171055.4000000004</v>
      </c>
      <c r="E12" s="79">
        <f>'Alimentazione CE Ricavi'!L7</f>
        <v>18181251.300000001</v>
      </c>
      <c r="F12" s="65"/>
      <c r="G12" s="228"/>
      <c r="H12" s="80"/>
      <c r="J12" s="76"/>
      <c r="L12" s="80"/>
    </row>
    <row r="13" spans="1:31" ht="18.75">
      <c r="A13" s="219"/>
      <c r="B13" s="120" t="s">
        <v>136</v>
      </c>
      <c r="C13" s="121" t="s">
        <v>1512</v>
      </c>
      <c r="D13" s="122">
        <f t="shared" ref="D13:E13" si="3">+D14+D15</f>
        <v>7414798</v>
      </c>
      <c r="E13" s="122">
        <f t="shared" si="3"/>
        <v>7402798</v>
      </c>
      <c r="F13" s="65" t="s">
        <v>2110</v>
      </c>
      <c r="G13" s="228"/>
      <c r="H13" s="80"/>
      <c r="J13" s="76"/>
      <c r="L13" s="80"/>
    </row>
    <row r="14" spans="1:31" ht="18.75">
      <c r="A14" s="219"/>
      <c r="B14" s="87" t="s">
        <v>138</v>
      </c>
      <c r="C14" s="88" t="s">
        <v>1513</v>
      </c>
      <c r="D14" s="79">
        <f>'Alimentazione CE Ricavi'!K9</f>
        <v>2328685</v>
      </c>
      <c r="E14" s="79">
        <f>'Alimentazione CE Ricavi'!L9</f>
        <v>2328685</v>
      </c>
      <c r="F14" s="65"/>
      <c r="G14" s="228"/>
      <c r="H14" s="80"/>
      <c r="J14" s="76"/>
      <c r="L14" s="80"/>
    </row>
    <row r="15" spans="1:31" ht="18.75">
      <c r="A15" s="219"/>
      <c r="B15" s="87" t="s">
        <v>140</v>
      </c>
      <c r="C15" s="88" t="s">
        <v>1514</v>
      </c>
      <c r="D15" s="79">
        <f>'Alimentazione CE Ricavi'!K10</f>
        <v>5086113</v>
      </c>
      <c r="E15" s="79">
        <f>'Alimentazione CE Ricavi'!L10</f>
        <v>5074113</v>
      </c>
      <c r="F15" s="65"/>
      <c r="G15" s="228"/>
      <c r="H15" s="80"/>
      <c r="J15" s="76"/>
      <c r="L15" s="80"/>
    </row>
    <row r="16" spans="1:31" ht="18.75">
      <c r="A16" s="219"/>
      <c r="B16" s="85" t="s">
        <v>142</v>
      </c>
      <c r="C16" s="86" t="s">
        <v>1515</v>
      </c>
      <c r="D16" s="79">
        <f>'Alimentazione CE Ricavi'!K11</f>
        <v>0</v>
      </c>
      <c r="E16" s="79">
        <f>'Alimentazione CE Ricavi'!L11</f>
        <v>0</v>
      </c>
      <c r="F16" s="65"/>
      <c r="G16" s="228"/>
      <c r="H16" s="80"/>
      <c r="J16" s="76"/>
      <c r="L16" s="80"/>
    </row>
    <row r="17" spans="1:12" ht="18.75">
      <c r="A17" s="219"/>
      <c r="B17" s="117" t="s">
        <v>144</v>
      </c>
      <c r="C17" s="118" t="s">
        <v>1516</v>
      </c>
      <c r="D17" s="119">
        <f>+'Alimentazione CE Ricavi'!K13</f>
        <v>0</v>
      </c>
      <c r="E17" s="119">
        <f>+'Alimentazione CE Ricavi'!L13</f>
        <v>2571265.62</v>
      </c>
      <c r="F17" s="65"/>
      <c r="G17" s="228"/>
      <c r="H17" s="80"/>
      <c r="J17" s="76"/>
      <c r="L17" s="80"/>
    </row>
    <row r="18" spans="1:12" ht="18.75">
      <c r="A18" s="219"/>
      <c r="B18" s="106" t="s">
        <v>147</v>
      </c>
      <c r="C18" s="107" t="s">
        <v>1517</v>
      </c>
      <c r="D18" s="105">
        <f t="shared" ref="D18:E18" si="4">+D19+D24+D27</f>
        <v>10944356.489999998</v>
      </c>
      <c r="E18" s="105">
        <f t="shared" si="4"/>
        <v>2346549</v>
      </c>
      <c r="F18" s="65" t="s">
        <v>2110</v>
      </c>
      <c r="G18" s="228"/>
      <c r="H18" s="80"/>
      <c r="J18" s="76"/>
      <c r="L18" s="80"/>
    </row>
    <row r="19" spans="1:12" ht="18.75">
      <c r="A19" s="219"/>
      <c r="B19" s="117" t="s">
        <v>149</v>
      </c>
      <c r="C19" s="118" t="s">
        <v>1518</v>
      </c>
      <c r="D19" s="119">
        <f t="shared" ref="D19:E19" si="5">+D20+D21+D22+D23</f>
        <v>9736968.7899999991</v>
      </c>
      <c r="E19" s="119">
        <f t="shared" si="5"/>
        <v>70811</v>
      </c>
      <c r="F19" s="65" t="s">
        <v>2110</v>
      </c>
      <c r="G19" s="228"/>
      <c r="H19" s="80"/>
      <c r="J19" s="76"/>
      <c r="L19" s="80"/>
    </row>
    <row r="20" spans="1:12" ht="18.75">
      <c r="A20" s="219"/>
      <c r="B20" s="85" t="s">
        <v>151</v>
      </c>
      <c r="C20" s="86" t="s">
        <v>1519</v>
      </c>
      <c r="D20" s="79">
        <f>+'Alimentazione CE Ricavi'!K17+'Alimentazione CE Ricavi'!K18+'Alimentazione CE Ricavi'!K19+'Alimentazione CE Ricavi'!K20+'Alimentazione CE Ricavi'!K21+'Alimentazione CE Ricavi'!K22</f>
        <v>9736968.7899999991</v>
      </c>
      <c r="E20" s="79">
        <f>+'Alimentazione CE Ricavi'!L17+'Alimentazione CE Ricavi'!L18+'Alimentazione CE Ricavi'!L19+'Alimentazione CE Ricavi'!L20+'Alimentazione CE Ricavi'!L21+'Alimentazione CE Ricavi'!L22</f>
        <v>70811</v>
      </c>
      <c r="F20" s="65"/>
      <c r="G20" s="228"/>
      <c r="H20" s="80"/>
      <c r="J20" s="76"/>
      <c r="L20" s="80"/>
    </row>
    <row r="21" spans="1:12" ht="25.5">
      <c r="A21" s="219"/>
      <c r="B21" s="85" t="s">
        <v>158</v>
      </c>
      <c r="C21" s="86" t="s">
        <v>2111</v>
      </c>
      <c r="D21" s="79">
        <f>+'Alimentazione CE Ricavi'!K23</f>
        <v>0</v>
      </c>
      <c r="E21" s="79">
        <f>+'Alimentazione CE Ricavi'!L23</f>
        <v>0</v>
      </c>
      <c r="F21" s="65"/>
      <c r="G21" s="228"/>
      <c r="H21" s="80"/>
      <c r="J21" s="76"/>
      <c r="L21" s="80"/>
    </row>
    <row r="22" spans="1:12" ht="25.5">
      <c r="A22" s="219"/>
      <c r="B22" s="85" t="s">
        <v>159</v>
      </c>
      <c r="C22" s="86" t="s">
        <v>2112</v>
      </c>
      <c r="D22" s="79">
        <f>+'Alimentazione CE Ricavi'!K24</f>
        <v>0</v>
      </c>
      <c r="E22" s="79">
        <f>+'Alimentazione CE Ricavi'!L24</f>
        <v>0</v>
      </c>
      <c r="F22" s="65"/>
      <c r="G22" s="228"/>
      <c r="H22" s="80"/>
      <c r="J22" s="76"/>
      <c r="L22" s="80"/>
    </row>
    <row r="23" spans="1:12" ht="18.75">
      <c r="A23" s="219"/>
      <c r="B23" s="85" t="s">
        <v>161</v>
      </c>
      <c r="C23" s="86" t="s">
        <v>1520</v>
      </c>
      <c r="D23" s="79">
        <f>+'Alimentazione CE Ricavi'!K25</f>
        <v>0</v>
      </c>
      <c r="E23" s="79">
        <f>+'Alimentazione CE Ricavi'!L25</f>
        <v>0</v>
      </c>
      <c r="F23" s="65"/>
      <c r="G23" s="228"/>
      <c r="H23" s="80"/>
      <c r="J23" s="76"/>
      <c r="L23" s="80"/>
    </row>
    <row r="24" spans="1:12" ht="18.75">
      <c r="A24" s="219"/>
      <c r="B24" s="117" t="s">
        <v>163</v>
      </c>
      <c r="C24" s="118" t="s">
        <v>1521</v>
      </c>
      <c r="D24" s="119">
        <f t="shared" ref="D24:E24" si="6">+D25+D26</f>
        <v>33578.57</v>
      </c>
      <c r="E24" s="119">
        <f t="shared" si="6"/>
        <v>0</v>
      </c>
      <c r="F24" s="65" t="s">
        <v>2110</v>
      </c>
      <c r="G24" s="228"/>
      <c r="H24" s="80"/>
      <c r="J24" s="76"/>
      <c r="L24" s="80"/>
    </row>
    <row r="25" spans="1:12" ht="18.75">
      <c r="A25" s="219" t="s">
        <v>1522</v>
      </c>
      <c r="B25" s="85" t="s">
        <v>165</v>
      </c>
      <c r="C25" s="86" t="s">
        <v>1523</v>
      </c>
      <c r="D25" s="79">
        <f>+'Alimentazione CE Ricavi'!K27</f>
        <v>33578.57</v>
      </c>
      <c r="E25" s="79">
        <f>+'Alimentazione CE Ricavi'!L27</f>
        <v>0</v>
      </c>
      <c r="F25" s="65"/>
      <c r="G25" s="228"/>
      <c r="H25" s="80"/>
      <c r="J25" s="76"/>
      <c r="L25" s="80"/>
    </row>
    <row r="26" spans="1:12" ht="18.75">
      <c r="A26" s="219" t="s">
        <v>1522</v>
      </c>
      <c r="B26" s="85" t="s">
        <v>167</v>
      </c>
      <c r="C26" s="86" t="s">
        <v>1524</v>
      </c>
      <c r="D26" s="79">
        <f>+'Alimentazione CE Ricavi'!K28</f>
        <v>0</v>
      </c>
      <c r="E26" s="79">
        <f>+'Alimentazione CE Ricavi'!L28</f>
        <v>0</v>
      </c>
      <c r="F26" s="65"/>
      <c r="G26" s="228"/>
      <c r="H26" s="80"/>
      <c r="J26" s="76"/>
      <c r="L26" s="80"/>
    </row>
    <row r="27" spans="1:12" ht="18.75">
      <c r="A27" s="221"/>
      <c r="B27" s="117" t="s">
        <v>169</v>
      </c>
      <c r="C27" s="118" t="s">
        <v>1525</v>
      </c>
      <c r="D27" s="119">
        <f t="shared" ref="D27:E27" si="7">+D28+D29+D30+D31+D32</f>
        <v>1173809.1299999999</v>
      </c>
      <c r="E27" s="119">
        <f t="shared" si="7"/>
        <v>2275738</v>
      </c>
      <c r="F27" s="65" t="s">
        <v>2110</v>
      </c>
      <c r="G27" s="228"/>
      <c r="H27" s="80"/>
      <c r="J27" s="76"/>
      <c r="L27" s="80"/>
    </row>
    <row r="28" spans="1:12" ht="18.75">
      <c r="A28" s="221"/>
      <c r="B28" s="85" t="s">
        <v>171</v>
      </c>
      <c r="C28" s="86" t="s">
        <v>1526</v>
      </c>
      <c r="D28" s="79">
        <f>+'Alimentazione CE Ricavi'!K30</f>
        <v>895214.73</v>
      </c>
      <c r="E28" s="79">
        <f>+'Alimentazione CE Ricavi'!L30</f>
        <v>2275738</v>
      </c>
      <c r="F28" s="373"/>
      <c r="G28" s="228"/>
      <c r="H28" s="80"/>
      <c r="J28" s="76"/>
      <c r="L28" s="80"/>
    </row>
    <row r="29" spans="1:12" ht="18.75">
      <c r="A29" s="221"/>
      <c r="B29" s="85" t="s">
        <v>173</v>
      </c>
      <c r="C29" s="86" t="s">
        <v>1527</v>
      </c>
      <c r="D29" s="79">
        <f>+'Alimentazione CE Ricavi'!K32+'Alimentazione CE Ricavi'!K33+'Alimentazione CE Ricavi'!K34+'Alimentazione CE Ricavi'!K35+'Alimentazione CE Ricavi'!K36+'Alimentazione CE Ricavi'!K37</f>
        <v>278594.40000000002</v>
      </c>
      <c r="E29" s="79">
        <f>+'Alimentazione CE Ricavi'!L32+'Alimentazione CE Ricavi'!L33+'Alimentazione CE Ricavi'!L34+'Alimentazione CE Ricavi'!L35+'Alimentazione CE Ricavi'!L36+'Alimentazione CE Ricavi'!L37</f>
        <v>0</v>
      </c>
      <c r="F29" s="373"/>
      <c r="G29" s="228"/>
      <c r="H29" s="80"/>
      <c r="J29" s="76"/>
      <c r="L29" s="80"/>
    </row>
    <row r="30" spans="1:12" ht="18.75">
      <c r="A30" s="221"/>
      <c r="B30" s="85" t="s">
        <v>181</v>
      </c>
      <c r="C30" s="86" t="s">
        <v>1528</v>
      </c>
      <c r="D30" s="79">
        <f>+'Alimentazione CE Ricavi'!K38</f>
        <v>0</v>
      </c>
      <c r="E30" s="79">
        <f>+'Alimentazione CE Ricavi'!L38</f>
        <v>0</v>
      </c>
      <c r="F30" s="373"/>
      <c r="G30" s="228"/>
      <c r="H30" s="80"/>
      <c r="J30" s="76"/>
      <c r="L30" s="80"/>
    </row>
    <row r="31" spans="1:12" ht="18.75">
      <c r="A31" s="221"/>
      <c r="B31" s="85" t="s">
        <v>183</v>
      </c>
      <c r="C31" s="86" t="s">
        <v>1529</v>
      </c>
      <c r="D31" s="79">
        <f>+'Alimentazione CE Ricavi'!K39</f>
        <v>0</v>
      </c>
      <c r="E31" s="79">
        <f>+'Alimentazione CE Ricavi'!L39</f>
        <v>0</v>
      </c>
      <c r="F31" s="373"/>
      <c r="G31" s="228"/>
      <c r="H31" s="80"/>
      <c r="J31" s="76"/>
      <c r="L31" s="80"/>
    </row>
    <row r="32" spans="1:12" ht="25.5">
      <c r="A32" s="221"/>
      <c r="B32" s="85" t="s">
        <v>185</v>
      </c>
      <c r="C32" s="86" t="s">
        <v>1530</v>
      </c>
      <c r="D32" s="79">
        <f>+'Alimentazione CE Ricavi'!K40</f>
        <v>0</v>
      </c>
      <c r="E32" s="79">
        <f>+'Alimentazione CE Ricavi'!L40</f>
        <v>0</v>
      </c>
      <c r="F32" s="373"/>
      <c r="G32" s="228"/>
      <c r="H32" s="80"/>
      <c r="J32" s="76"/>
      <c r="L32" s="80"/>
    </row>
    <row r="33" spans="1:12" ht="18.75">
      <c r="A33" s="219"/>
      <c r="B33" s="106" t="s">
        <v>187</v>
      </c>
      <c r="C33" s="107" t="s">
        <v>1531</v>
      </c>
      <c r="D33" s="105">
        <f t="shared" ref="D33:E33" si="8">+D34+D35+D36+D37</f>
        <v>6667461.2199999988</v>
      </c>
      <c r="E33" s="105">
        <f t="shared" si="8"/>
        <v>8433843.7199999988</v>
      </c>
      <c r="F33" s="65" t="s">
        <v>2110</v>
      </c>
      <c r="G33" s="228"/>
      <c r="H33" s="80"/>
      <c r="J33" s="76"/>
      <c r="L33" s="80"/>
    </row>
    <row r="34" spans="1:12" ht="18.75">
      <c r="A34" s="219"/>
      <c r="B34" s="83" t="s">
        <v>189</v>
      </c>
      <c r="C34" s="84" t="s">
        <v>1532</v>
      </c>
      <c r="D34" s="79">
        <f>+'Alimentazione CE Ricavi'!K42</f>
        <v>3759035.78</v>
      </c>
      <c r="E34" s="79">
        <f>+'Alimentazione CE Ricavi'!L42</f>
        <v>3568037.65</v>
      </c>
      <c r="F34" s="65"/>
      <c r="G34" s="228"/>
      <c r="H34" s="80"/>
      <c r="J34" s="76"/>
      <c r="L34" s="80"/>
    </row>
    <row r="35" spans="1:12" ht="18.75">
      <c r="A35" s="219"/>
      <c r="B35" s="83" t="s">
        <v>191</v>
      </c>
      <c r="C35" s="84" t="s">
        <v>1533</v>
      </c>
      <c r="D35" s="79">
        <f>+'Alimentazione CE Ricavi'!K43</f>
        <v>632912</v>
      </c>
      <c r="E35" s="79">
        <f>+'Alimentazione CE Ricavi'!L43</f>
        <v>3726734.05</v>
      </c>
      <c r="F35" s="65"/>
      <c r="G35" s="228"/>
      <c r="H35" s="80"/>
      <c r="J35" s="76"/>
      <c r="L35" s="80"/>
    </row>
    <row r="36" spans="1:12" ht="18.75">
      <c r="A36" s="219"/>
      <c r="B36" s="83" t="s">
        <v>193</v>
      </c>
      <c r="C36" s="84" t="s">
        <v>1534</v>
      </c>
      <c r="D36" s="79">
        <f>+'Alimentazione CE Ricavi'!K45+'Alimentazione CE Ricavi'!K46</f>
        <v>2199455.84</v>
      </c>
      <c r="E36" s="79">
        <f>+'Alimentazione CE Ricavi'!L45+'Alimentazione CE Ricavi'!L46</f>
        <v>879360.11</v>
      </c>
      <c r="F36" s="65"/>
      <c r="G36" s="228"/>
      <c r="H36" s="80"/>
      <c r="J36" s="76"/>
      <c r="L36" s="80"/>
    </row>
    <row r="37" spans="1:12" ht="18.75">
      <c r="A37" s="219"/>
      <c r="B37" s="83" t="s">
        <v>197</v>
      </c>
      <c r="C37" s="84" t="s">
        <v>1535</v>
      </c>
      <c r="D37" s="79">
        <f>+'Alimentazione CE Ricavi'!K47</f>
        <v>76057.600000000006</v>
      </c>
      <c r="E37" s="79">
        <f>+'Alimentazione CE Ricavi'!L47</f>
        <v>259711.90999999997</v>
      </c>
      <c r="F37" s="65"/>
      <c r="G37" s="228"/>
      <c r="H37" s="80"/>
      <c r="J37" s="76"/>
      <c r="L37" s="80"/>
    </row>
    <row r="38" spans="1:12" ht="18.75">
      <c r="A38" s="219"/>
      <c r="B38" s="106" t="s">
        <v>199</v>
      </c>
      <c r="C38" s="107" t="s">
        <v>1536</v>
      </c>
      <c r="D38" s="105">
        <f>+'Alimentazione CE Ricavi'!K48</f>
        <v>33120</v>
      </c>
      <c r="E38" s="105">
        <f>+'Alimentazione CE Ricavi'!L48</f>
        <v>132496</v>
      </c>
      <c r="F38" s="65"/>
      <c r="G38" s="228"/>
      <c r="H38" s="80"/>
      <c r="J38" s="76"/>
      <c r="L38" s="80"/>
    </row>
    <row r="39" spans="1:12" ht="18.75">
      <c r="A39" s="219"/>
      <c r="B39" s="111" t="s">
        <v>201</v>
      </c>
      <c r="C39" s="112" t="s">
        <v>1537</v>
      </c>
      <c r="D39" s="113">
        <f t="shared" ref="D39:E39" si="9">+D40+D41</f>
        <v>-43375.91</v>
      </c>
      <c r="E39" s="113">
        <f t="shared" si="9"/>
        <v>-64953</v>
      </c>
      <c r="F39" s="65" t="s">
        <v>2110</v>
      </c>
      <c r="G39" s="228"/>
      <c r="H39" s="80"/>
      <c r="J39" s="76"/>
      <c r="L39" s="80"/>
    </row>
    <row r="40" spans="1:12" ht="25.5">
      <c r="A40" s="219"/>
      <c r="B40" s="81" t="s">
        <v>203</v>
      </c>
      <c r="C40" s="82" t="s">
        <v>1538</v>
      </c>
      <c r="D40" s="79">
        <f>+'Alimentazione CE Ricavi'!K50</f>
        <v>-43375.91</v>
      </c>
      <c r="E40" s="79">
        <f>+'Alimentazione CE Ricavi'!L50</f>
        <v>-64953</v>
      </c>
      <c r="F40" s="65"/>
      <c r="G40" s="228"/>
      <c r="H40" s="80"/>
      <c r="J40" s="76"/>
      <c r="L40" s="80"/>
    </row>
    <row r="41" spans="1:12" ht="18.75">
      <c r="A41" s="219"/>
      <c r="B41" s="81" t="s">
        <v>205</v>
      </c>
      <c r="C41" s="82" t="s">
        <v>1539</v>
      </c>
      <c r="D41" s="79">
        <f>+'Alimentazione CE Ricavi'!K51</f>
        <v>0</v>
      </c>
      <c r="E41" s="79">
        <f>+'Alimentazione CE Ricavi'!L51</f>
        <v>0</v>
      </c>
      <c r="F41" s="65"/>
      <c r="G41" s="228"/>
      <c r="H41" s="80"/>
      <c r="J41" s="76"/>
      <c r="L41" s="80"/>
    </row>
    <row r="42" spans="1:12" ht="18.75">
      <c r="A42" s="221"/>
      <c r="B42" s="111" t="s">
        <v>207</v>
      </c>
      <c r="C42" s="112" t="s">
        <v>1540</v>
      </c>
      <c r="D42" s="113">
        <f t="shared" ref="D42:E42" si="10">+D43+D44+D45+D46+D47</f>
        <v>9231984.3000000007</v>
      </c>
      <c r="E42" s="113">
        <f t="shared" si="10"/>
        <v>2349149.16</v>
      </c>
      <c r="F42" s="65" t="s">
        <v>2110</v>
      </c>
      <c r="G42" s="228"/>
      <c r="H42" s="80"/>
      <c r="J42" s="76"/>
      <c r="L42" s="80"/>
    </row>
    <row r="43" spans="1:12" ht="25.5">
      <c r="A43" s="221"/>
      <c r="B43" s="81" t="s">
        <v>209</v>
      </c>
      <c r="C43" s="82" t="s">
        <v>1541</v>
      </c>
      <c r="D43" s="79">
        <f>+'Alimentazione CE Ricavi'!K53</f>
        <v>1831693</v>
      </c>
      <c r="E43" s="79">
        <f>+'Alimentazione CE Ricavi'!L53</f>
        <v>100326.39999999999</v>
      </c>
      <c r="F43" s="373"/>
      <c r="G43" s="228"/>
      <c r="H43" s="80"/>
      <c r="J43" s="76"/>
      <c r="L43" s="80"/>
    </row>
    <row r="44" spans="1:12" ht="25.5">
      <c r="A44" s="221"/>
      <c r="B44" s="81" t="s">
        <v>211</v>
      </c>
      <c r="C44" s="82" t="s">
        <v>1542</v>
      </c>
      <c r="D44" s="79">
        <f>+'Alimentazione CE Ricavi'!K54</f>
        <v>22412</v>
      </c>
      <c r="E44" s="79">
        <f>+'Alimentazione CE Ricavi'!L54</f>
        <v>0</v>
      </c>
      <c r="F44" s="373"/>
      <c r="G44" s="228"/>
      <c r="H44" s="80"/>
      <c r="J44" s="76"/>
      <c r="L44" s="80"/>
    </row>
    <row r="45" spans="1:12" ht="25.5">
      <c r="A45" s="221"/>
      <c r="B45" s="81" t="s">
        <v>213</v>
      </c>
      <c r="C45" s="82" t="s">
        <v>1543</v>
      </c>
      <c r="D45" s="79">
        <f>+'Alimentazione CE Ricavi'!K55</f>
        <v>2277048.14</v>
      </c>
      <c r="E45" s="79">
        <f>+'Alimentazione CE Ricavi'!L55</f>
        <v>105993</v>
      </c>
      <c r="F45" s="373"/>
      <c r="G45" s="228"/>
      <c r="H45" s="80"/>
      <c r="J45" s="76"/>
      <c r="L45" s="80"/>
    </row>
    <row r="46" spans="1:12" ht="18.75">
      <c r="A46" s="221"/>
      <c r="B46" s="81" t="s">
        <v>215</v>
      </c>
      <c r="C46" s="82" t="s">
        <v>1544</v>
      </c>
      <c r="D46" s="79">
        <f>+'Alimentazione CE Ricavi'!K56</f>
        <v>4977779.3600000003</v>
      </c>
      <c r="E46" s="79">
        <f>+'Alimentazione CE Ricavi'!L56</f>
        <v>1525482.06</v>
      </c>
      <c r="F46" s="373"/>
      <c r="G46" s="228"/>
      <c r="H46" s="80"/>
      <c r="J46" s="76"/>
      <c r="L46" s="80"/>
    </row>
    <row r="47" spans="1:12" ht="18.75">
      <c r="A47" s="221"/>
      <c r="B47" s="81" t="s">
        <v>217</v>
      </c>
      <c r="C47" s="82" t="s">
        <v>1545</v>
      </c>
      <c r="D47" s="79">
        <f>+'Alimentazione CE Ricavi'!K57</f>
        <v>123051.8</v>
      </c>
      <c r="E47" s="79">
        <f>+'Alimentazione CE Ricavi'!L57</f>
        <v>617347.70000000007</v>
      </c>
      <c r="F47" s="373"/>
      <c r="G47" s="228"/>
      <c r="H47" s="80"/>
      <c r="J47" s="76"/>
      <c r="L47" s="80"/>
    </row>
    <row r="48" spans="1:12" ht="18.75">
      <c r="A48" s="219"/>
      <c r="B48" s="111" t="s">
        <v>1546</v>
      </c>
      <c r="C48" s="112" t="s">
        <v>1547</v>
      </c>
      <c r="D48" s="113">
        <f t="shared" ref="D48:E48" si="11">+D49+D88+D94+D95</f>
        <v>35756047.339999996</v>
      </c>
      <c r="E48" s="113">
        <f t="shared" si="11"/>
        <v>34713918.780000001</v>
      </c>
      <c r="F48" s="65" t="s">
        <v>2110</v>
      </c>
      <c r="G48" s="228"/>
      <c r="H48" s="80"/>
      <c r="J48" s="76"/>
      <c r="L48" s="80"/>
    </row>
    <row r="49" spans="1:12" ht="25.5">
      <c r="A49" s="219"/>
      <c r="B49" s="106" t="s">
        <v>220</v>
      </c>
      <c r="C49" s="107" t="s">
        <v>1548</v>
      </c>
      <c r="D49" s="105">
        <f t="shared" ref="D49:E49" si="12">+D50+D66+D67</f>
        <v>33644228.009999998</v>
      </c>
      <c r="E49" s="105">
        <f t="shared" si="12"/>
        <v>32620305.220000003</v>
      </c>
      <c r="F49" s="65" t="s">
        <v>2110</v>
      </c>
      <c r="G49" s="228"/>
      <c r="H49" s="80"/>
      <c r="J49" s="76"/>
      <c r="L49" s="80"/>
    </row>
    <row r="50" spans="1:12" ht="25.5">
      <c r="A50" s="219" t="s">
        <v>1522</v>
      </c>
      <c r="B50" s="117" t="s">
        <v>222</v>
      </c>
      <c r="C50" s="118" t="s">
        <v>1549</v>
      </c>
      <c r="D50" s="119">
        <f t="shared" ref="D50:E50" si="13">SUM(D51:D65)</f>
        <v>27798485.689999998</v>
      </c>
      <c r="E50" s="119">
        <f t="shared" si="13"/>
        <v>27842170.490000002</v>
      </c>
      <c r="F50" s="65" t="s">
        <v>2110</v>
      </c>
      <c r="G50" s="228"/>
      <c r="H50" s="80"/>
      <c r="J50" s="76"/>
      <c r="L50" s="80"/>
    </row>
    <row r="51" spans="1:12" ht="18.75">
      <c r="A51" s="219" t="s">
        <v>1522</v>
      </c>
      <c r="B51" s="85" t="s">
        <v>224</v>
      </c>
      <c r="C51" s="86" t="s">
        <v>1550</v>
      </c>
      <c r="D51" s="79">
        <f>+'Alimentazione CE Ricavi'!K62+'Alimentazione CE Ricavi'!K63</f>
        <v>19504539.879999999</v>
      </c>
      <c r="E51" s="79">
        <f>+'Alimentazione CE Ricavi'!L62+'Alimentazione CE Ricavi'!L63</f>
        <v>19823434.970000003</v>
      </c>
      <c r="F51" s="65"/>
      <c r="G51" s="228"/>
      <c r="H51" s="80"/>
      <c r="J51" s="76"/>
      <c r="L51" s="80"/>
    </row>
    <row r="52" spans="1:12" ht="18.75">
      <c r="A52" s="221" t="s">
        <v>1522</v>
      </c>
      <c r="B52" s="85" t="s">
        <v>228</v>
      </c>
      <c r="C52" s="86" t="s">
        <v>1551</v>
      </c>
      <c r="D52" s="79">
        <f>+'Alimentazione CE Ricavi'!K65+'Alimentazione CE Ricavi'!K66</f>
        <v>7599148.9900000002</v>
      </c>
      <c r="E52" s="79">
        <f>+'Alimentazione CE Ricavi'!L65+'Alimentazione CE Ricavi'!L66</f>
        <v>7315276.7199999997</v>
      </c>
      <c r="F52" s="373"/>
      <c r="G52" s="228"/>
      <c r="H52" s="80"/>
      <c r="J52" s="76"/>
      <c r="L52" s="80"/>
    </row>
    <row r="53" spans="1:12" ht="18.75">
      <c r="A53" s="221" t="s">
        <v>1522</v>
      </c>
      <c r="B53" s="85" t="s">
        <v>231</v>
      </c>
      <c r="C53" s="86" t="s">
        <v>1552</v>
      </c>
      <c r="D53" s="79">
        <f>+'Alimentazione CE Ricavi'!K67</f>
        <v>0</v>
      </c>
      <c r="E53" s="79">
        <f>+'Alimentazione CE Ricavi'!L67</f>
        <v>0</v>
      </c>
      <c r="F53" s="373"/>
      <c r="G53" s="228"/>
      <c r="H53" s="80"/>
      <c r="J53" s="76"/>
      <c r="L53" s="80"/>
    </row>
    <row r="54" spans="1:12" ht="18.75">
      <c r="A54" s="221" t="s">
        <v>1522</v>
      </c>
      <c r="B54" s="85" t="s">
        <v>233</v>
      </c>
      <c r="C54" s="86" t="s">
        <v>1553</v>
      </c>
      <c r="D54" s="79">
        <f>+'Alimentazione CE Ricavi'!K68</f>
        <v>0</v>
      </c>
      <c r="E54" s="79">
        <f>+'Alimentazione CE Ricavi'!L68</f>
        <v>0</v>
      </c>
      <c r="F54" s="373"/>
      <c r="G54" s="228"/>
      <c r="H54" s="80"/>
      <c r="J54" s="76"/>
      <c r="L54" s="80"/>
    </row>
    <row r="55" spans="1:12" ht="18.75">
      <c r="A55" s="221" t="s">
        <v>1522</v>
      </c>
      <c r="B55" s="85" t="s">
        <v>235</v>
      </c>
      <c r="C55" s="86" t="s">
        <v>1554</v>
      </c>
      <c r="D55" s="79">
        <f>+'Alimentazione CE Ricavi'!K69</f>
        <v>460406</v>
      </c>
      <c r="E55" s="79">
        <f>+'Alimentazione CE Ricavi'!L69</f>
        <v>465384.78</v>
      </c>
      <c r="F55" s="373"/>
      <c r="G55" s="228"/>
      <c r="H55" s="80"/>
      <c r="J55" s="76"/>
      <c r="L55" s="80"/>
    </row>
    <row r="56" spans="1:12" ht="18.75">
      <c r="A56" s="221" t="s">
        <v>1522</v>
      </c>
      <c r="B56" s="85" t="s">
        <v>237</v>
      </c>
      <c r="C56" s="86" t="s">
        <v>1555</v>
      </c>
      <c r="D56" s="79">
        <f>+'Alimentazione CE Ricavi'!K70</f>
        <v>0</v>
      </c>
      <c r="E56" s="79">
        <f>+'Alimentazione CE Ricavi'!L70</f>
        <v>0</v>
      </c>
      <c r="F56" s="373"/>
      <c r="G56" s="228"/>
      <c r="H56" s="80"/>
      <c r="J56" s="76"/>
      <c r="L56" s="80"/>
    </row>
    <row r="57" spans="1:12" ht="18.75">
      <c r="A57" s="221" t="s">
        <v>1522</v>
      </c>
      <c r="B57" s="85" t="s">
        <v>239</v>
      </c>
      <c r="C57" s="86" t="s">
        <v>1556</v>
      </c>
      <c r="D57" s="79">
        <f>+'Alimentazione CE Ricavi'!K71</f>
        <v>0</v>
      </c>
      <c r="E57" s="79">
        <f>+'Alimentazione CE Ricavi'!L71</f>
        <v>0</v>
      </c>
      <c r="F57" s="373"/>
      <c r="G57" s="228"/>
      <c r="H57" s="80"/>
      <c r="J57" s="76"/>
      <c r="L57" s="80"/>
    </row>
    <row r="58" spans="1:12" ht="18.75">
      <c r="A58" s="221" t="s">
        <v>1522</v>
      </c>
      <c r="B58" s="85" t="s">
        <v>241</v>
      </c>
      <c r="C58" s="86" t="s">
        <v>1557</v>
      </c>
      <c r="D58" s="79">
        <f>+'Alimentazione CE Ricavi'!K72</f>
        <v>0</v>
      </c>
      <c r="E58" s="79">
        <f>+'Alimentazione CE Ricavi'!L72</f>
        <v>0</v>
      </c>
      <c r="F58" s="373"/>
      <c r="G58" s="228"/>
      <c r="H58" s="80"/>
      <c r="J58" s="76"/>
      <c r="L58" s="80"/>
    </row>
    <row r="59" spans="1:12" ht="18.75">
      <c r="A59" s="221" t="s">
        <v>1522</v>
      </c>
      <c r="B59" s="85" t="s">
        <v>243</v>
      </c>
      <c r="C59" s="86" t="s">
        <v>1558</v>
      </c>
      <c r="D59" s="79">
        <f>+'Alimentazione CE Ricavi'!K73</f>
        <v>0</v>
      </c>
      <c r="E59" s="79">
        <f>+'Alimentazione CE Ricavi'!L73</f>
        <v>0</v>
      </c>
      <c r="F59" s="373"/>
      <c r="G59" s="228"/>
      <c r="H59" s="80"/>
      <c r="J59" s="76"/>
      <c r="L59" s="80"/>
    </row>
    <row r="60" spans="1:12" ht="18.75">
      <c r="A60" s="221" t="s">
        <v>1522</v>
      </c>
      <c r="B60" s="85" t="s">
        <v>245</v>
      </c>
      <c r="C60" s="86" t="s">
        <v>1559</v>
      </c>
      <c r="D60" s="79">
        <f>+'Alimentazione CE Ricavi'!K74</f>
        <v>0</v>
      </c>
      <c r="E60" s="79">
        <f>+'Alimentazione CE Ricavi'!L74</f>
        <v>0</v>
      </c>
      <c r="F60" s="373"/>
      <c r="G60" s="228"/>
      <c r="H60" s="80"/>
      <c r="J60" s="76"/>
      <c r="L60" s="80"/>
    </row>
    <row r="61" spans="1:12" ht="18.75">
      <c r="A61" s="221" t="s">
        <v>1522</v>
      </c>
      <c r="B61" s="85" t="s">
        <v>247</v>
      </c>
      <c r="C61" s="86" t="s">
        <v>1560</v>
      </c>
      <c r="D61" s="79">
        <f>+'Alimentazione CE Ricavi'!K75</f>
        <v>0</v>
      </c>
      <c r="E61" s="79">
        <f>+'Alimentazione CE Ricavi'!L75</f>
        <v>0</v>
      </c>
      <c r="F61" s="374"/>
      <c r="G61" s="228"/>
      <c r="H61" s="80"/>
      <c r="J61" s="76"/>
      <c r="L61" s="80"/>
    </row>
    <row r="62" spans="1:12" ht="18.75">
      <c r="A62" s="219" t="s">
        <v>1522</v>
      </c>
      <c r="B62" s="85" t="s">
        <v>249</v>
      </c>
      <c r="C62" s="86" t="s">
        <v>1561</v>
      </c>
      <c r="D62" s="79">
        <f>+'Alimentazione CE Ricavi'!K76</f>
        <v>0</v>
      </c>
      <c r="E62" s="79">
        <f>+'Alimentazione CE Ricavi'!L76</f>
        <v>0</v>
      </c>
      <c r="F62" s="374"/>
      <c r="G62" s="228"/>
      <c r="H62" s="80"/>
      <c r="J62" s="76"/>
      <c r="L62" s="80"/>
    </row>
    <row r="63" spans="1:12" ht="18.75">
      <c r="A63" s="219" t="s">
        <v>1522</v>
      </c>
      <c r="B63" s="85" t="s">
        <v>251</v>
      </c>
      <c r="C63" s="86" t="s">
        <v>1562</v>
      </c>
      <c r="D63" s="79">
        <f>+'Alimentazione CE Ricavi'!K77</f>
        <v>0</v>
      </c>
      <c r="E63" s="79">
        <f>+'Alimentazione CE Ricavi'!L77</f>
        <v>0</v>
      </c>
      <c r="F63" s="374"/>
      <c r="G63" s="228"/>
      <c r="H63" s="80"/>
      <c r="J63" s="76"/>
      <c r="L63" s="80"/>
    </row>
    <row r="64" spans="1:12" ht="18.75">
      <c r="A64" s="219" t="s">
        <v>1522</v>
      </c>
      <c r="B64" s="85" t="s">
        <v>253</v>
      </c>
      <c r="C64" s="86" t="s">
        <v>1563</v>
      </c>
      <c r="D64" s="79">
        <f>+'Alimentazione CE Ricavi'!K78</f>
        <v>0</v>
      </c>
      <c r="E64" s="79">
        <f>+'Alimentazione CE Ricavi'!L78</f>
        <v>0</v>
      </c>
      <c r="F64" s="374"/>
      <c r="G64" s="228"/>
      <c r="H64" s="80"/>
      <c r="J64" s="76"/>
      <c r="L64" s="80"/>
    </row>
    <row r="65" spans="1:12" ht="18.75">
      <c r="A65" s="219" t="s">
        <v>1522</v>
      </c>
      <c r="B65" s="85" t="s">
        <v>255</v>
      </c>
      <c r="C65" s="86" t="s">
        <v>1564</v>
      </c>
      <c r="D65" s="79">
        <f>+'Alimentazione CE Ricavi'!K80+'Alimentazione CE Ricavi'!K81</f>
        <v>234390.81999999998</v>
      </c>
      <c r="E65" s="79">
        <f>+'Alimentazione CE Ricavi'!L80+'Alimentazione CE Ricavi'!L81</f>
        <v>238074.02000000002</v>
      </c>
      <c r="F65" s="374"/>
      <c r="G65" s="228"/>
      <c r="H65" s="80"/>
      <c r="J65" s="76"/>
      <c r="L65" s="80"/>
    </row>
    <row r="66" spans="1:12" ht="18.75">
      <c r="A66" s="219"/>
      <c r="B66" s="83" t="s">
        <v>258</v>
      </c>
      <c r="C66" s="84" t="s">
        <v>1565</v>
      </c>
      <c r="D66" s="79">
        <f>+'Alimentazione CE Ricavi'!K82</f>
        <v>0</v>
      </c>
      <c r="E66" s="79">
        <f>+'Alimentazione CE Ricavi'!L82</f>
        <v>0</v>
      </c>
      <c r="F66" s="65"/>
      <c r="G66" s="228"/>
      <c r="H66" s="80"/>
      <c r="J66" s="76"/>
      <c r="L66" s="80"/>
    </row>
    <row r="67" spans="1:12" ht="25.5">
      <c r="A67" s="219"/>
      <c r="B67" s="117" t="s">
        <v>260</v>
      </c>
      <c r="C67" s="118" t="s">
        <v>1566</v>
      </c>
      <c r="D67" s="119">
        <f t="shared" ref="D67:E67" si="14">SUM(D68:D82,D85,D86,D87)</f>
        <v>5845742.3200000003</v>
      </c>
      <c r="E67" s="119">
        <f t="shared" si="14"/>
        <v>4778134.7300000004</v>
      </c>
      <c r="F67" s="65" t="s">
        <v>2110</v>
      </c>
      <c r="G67" s="228"/>
      <c r="H67" s="80"/>
      <c r="J67" s="76"/>
      <c r="L67" s="80"/>
    </row>
    <row r="68" spans="1:12" ht="18.75">
      <c r="A68" s="219" t="s">
        <v>1567</v>
      </c>
      <c r="B68" s="85" t="s">
        <v>261</v>
      </c>
      <c r="C68" s="86" t="s">
        <v>1568</v>
      </c>
      <c r="D68" s="79">
        <f>+'Alimentazione CE Ricavi'!K85</f>
        <v>3631354.38</v>
      </c>
      <c r="E68" s="79">
        <f>+'Alimentazione CE Ricavi'!L85</f>
        <v>3278672.04</v>
      </c>
      <c r="F68" s="65"/>
      <c r="G68" s="228"/>
      <c r="H68" s="80"/>
      <c r="J68" s="76"/>
      <c r="L68" s="80"/>
    </row>
    <row r="69" spans="1:12" ht="18.75">
      <c r="A69" s="219" t="s">
        <v>1567</v>
      </c>
      <c r="B69" s="85" t="s">
        <v>264</v>
      </c>
      <c r="C69" s="86" t="s">
        <v>1569</v>
      </c>
      <c r="D69" s="79">
        <f>+'Alimentazione CE Ricavi'!K87</f>
        <v>1727213.11</v>
      </c>
      <c r="E69" s="79">
        <f>+'Alimentazione CE Ricavi'!L87</f>
        <v>1363759.02</v>
      </c>
      <c r="F69" s="65"/>
      <c r="G69" s="228"/>
      <c r="H69" s="80"/>
      <c r="J69" s="76"/>
      <c r="L69" s="80"/>
    </row>
    <row r="70" spans="1:12" ht="18.75">
      <c r="A70" s="219" t="s">
        <v>1567</v>
      </c>
      <c r="B70" s="85" t="s">
        <v>267</v>
      </c>
      <c r="C70" s="86" t="s">
        <v>1570</v>
      </c>
      <c r="D70" s="79">
        <f>+'Alimentazione CE Ricavi'!K88</f>
        <v>0</v>
      </c>
      <c r="E70" s="79">
        <f>+'Alimentazione CE Ricavi'!L88</f>
        <v>0</v>
      </c>
      <c r="F70" s="373"/>
      <c r="G70" s="228"/>
      <c r="H70" s="80"/>
      <c r="J70" s="76"/>
      <c r="L70" s="80"/>
    </row>
    <row r="71" spans="1:12" ht="18.75">
      <c r="A71" s="221" t="s">
        <v>1571</v>
      </c>
      <c r="B71" s="85" t="s">
        <v>269</v>
      </c>
      <c r="C71" s="86" t="s">
        <v>1572</v>
      </c>
      <c r="D71" s="79">
        <f>+'Alimentazione CE Ricavi'!K89</f>
        <v>0</v>
      </c>
      <c r="E71" s="79">
        <f>+'Alimentazione CE Ricavi'!L89</f>
        <v>0</v>
      </c>
      <c r="F71" s="373"/>
      <c r="G71" s="228"/>
      <c r="H71" s="80"/>
      <c r="J71" s="76"/>
      <c r="L71" s="80"/>
    </row>
    <row r="72" spans="1:12" ht="18.75">
      <c r="A72" s="221" t="s">
        <v>1567</v>
      </c>
      <c r="B72" s="85" t="s">
        <v>270</v>
      </c>
      <c r="C72" s="86" t="s">
        <v>1573</v>
      </c>
      <c r="D72" s="79">
        <f>+'Alimentazione CE Ricavi'!K90</f>
        <v>218081.38</v>
      </c>
      <c r="E72" s="79">
        <f>+'Alimentazione CE Ricavi'!L90</f>
        <v>25273.46</v>
      </c>
      <c r="F72" s="65"/>
      <c r="G72" s="228"/>
      <c r="H72" s="80"/>
      <c r="J72" s="76"/>
      <c r="L72" s="80"/>
    </row>
    <row r="73" spans="1:12" ht="18.75">
      <c r="A73" s="221" t="s">
        <v>1567</v>
      </c>
      <c r="B73" s="85" t="s">
        <v>272</v>
      </c>
      <c r="C73" s="86" t="s">
        <v>1574</v>
      </c>
      <c r="D73" s="79">
        <f>+'Alimentazione CE Ricavi'!K91</f>
        <v>0</v>
      </c>
      <c r="E73" s="79">
        <f>+'Alimentazione CE Ricavi'!L91</f>
        <v>0</v>
      </c>
      <c r="F73" s="373"/>
      <c r="G73" s="228"/>
      <c r="H73" s="80"/>
      <c r="J73" s="76"/>
      <c r="L73" s="80"/>
    </row>
    <row r="74" spans="1:12" ht="18.75">
      <c r="A74" s="221" t="s">
        <v>1567</v>
      </c>
      <c r="B74" s="85" t="s">
        <v>274</v>
      </c>
      <c r="C74" s="86" t="s">
        <v>1575</v>
      </c>
      <c r="D74" s="79">
        <f>+'Alimentazione CE Ricavi'!K92</f>
        <v>0</v>
      </c>
      <c r="E74" s="79">
        <f>+'Alimentazione CE Ricavi'!L92</f>
        <v>0</v>
      </c>
      <c r="F74" s="373"/>
      <c r="G74" s="228"/>
      <c r="H74" s="80"/>
      <c r="J74" s="76"/>
      <c r="L74" s="80"/>
    </row>
    <row r="75" spans="1:12" ht="18.75">
      <c r="A75" s="221" t="s">
        <v>1567</v>
      </c>
      <c r="B75" s="85" t="s">
        <v>276</v>
      </c>
      <c r="C75" s="86" t="s">
        <v>1576</v>
      </c>
      <c r="D75" s="79">
        <f>+'Alimentazione CE Ricavi'!K93</f>
        <v>0</v>
      </c>
      <c r="E75" s="79">
        <f>+'Alimentazione CE Ricavi'!L93</f>
        <v>0</v>
      </c>
      <c r="F75" s="373"/>
      <c r="G75" s="228"/>
      <c r="H75" s="80"/>
      <c r="J75" s="76"/>
      <c r="L75" s="80"/>
    </row>
    <row r="76" spans="1:12" ht="18.75">
      <c r="A76" s="221" t="s">
        <v>1567</v>
      </c>
      <c r="B76" s="85" t="s">
        <v>278</v>
      </c>
      <c r="C76" s="86" t="s">
        <v>1577</v>
      </c>
      <c r="D76" s="79">
        <f>+'Alimentazione CE Ricavi'!K94</f>
        <v>0</v>
      </c>
      <c r="E76" s="79">
        <f>+'Alimentazione CE Ricavi'!L94</f>
        <v>0</v>
      </c>
      <c r="F76" s="373"/>
      <c r="G76" s="228"/>
      <c r="H76" s="80"/>
      <c r="J76" s="76"/>
      <c r="L76" s="80"/>
    </row>
    <row r="77" spans="1:12" ht="18.75">
      <c r="A77" s="221" t="s">
        <v>1571</v>
      </c>
      <c r="B77" s="85" t="s">
        <v>280</v>
      </c>
      <c r="C77" s="86" t="s">
        <v>1578</v>
      </c>
      <c r="D77" s="79">
        <f>+'Alimentazione CE Ricavi'!K95</f>
        <v>0</v>
      </c>
      <c r="E77" s="79">
        <f>+'Alimentazione CE Ricavi'!L95</f>
        <v>0</v>
      </c>
      <c r="F77" s="373"/>
      <c r="G77" s="228"/>
      <c r="H77" s="80"/>
      <c r="J77" s="76"/>
      <c r="L77" s="80"/>
    </row>
    <row r="78" spans="1:12" ht="18.75">
      <c r="A78" s="221" t="s">
        <v>1571</v>
      </c>
      <c r="B78" s="85" t="s">
        <v>282</v>
      </c>
      <c r="C78" s="86" t="s">
        <v>1579</v>
      </c>
      <c r="D78" s="79">
        <f>+'Alimentazione CE Ricavi'!K96</f>
        <v>0</v>
      </c>
      <c r="E78" s="79">
        <f>+'Alimentazione CE Ricavi'!L96</f>
        <v>0</v>
      </c>
      <c r="F78" s="373"/>
      <c r="G78" s="228"/>
      <c r="H78" s="80"/>
      <c r="J78" s="76"/>
      <c r="L78" s="80"/>
    </row>
    <row r="79" spans="1:12" ht="18.75">
      <c r="A79" s="221" t="s">
        <v>1567</v>
      </c>
      <c r="B79" s="85" t="s">
        <v>284</v>
      </c>
      <c r="C79" s="86" t="s">
        <v>1580</v>
      </c>
      <c r="D79" s="79">
        <f>+'Alimentazione CE Ricavi'!K97</f>
        <v>0</v>
      </c>
      <c r="E79" s="79">
        <f>+'Alimentazione CE Ricavi'!L97</f>
        <v>0</v>
      </c>
      <c r="F79" s="373"/>
      <c r="G79" s="228"/>
      <c r="H79" s="80"/>
      <c r="J79" s="76"/>
      <c r="L79" s="80"/>
    </row>
    <row r="80" spans="1:12" ht="18.75">
      <c r="A80" s="221" t="s">
        <v>1567</v>
      </c>
      <c r="B80" s="85" t="s">
        <v>285</v>
      </c>
      <c r="C80" s="86" t="s">
        <v>1581</v>
      </c>
      <c r="D80" s="79">
        <f>+'Alimentazione CE Ricavi'!K98</f>
        <v>0</v>
      </c>
      <c r="E80" s="79">
        <f>+'Alimentazione CE Ricavi'!L98</f>
        <v>0</v>
      </c>
      <c r="F80" s="373"/>
      <c r="G80" s="228"/>
      <c r="H80" s="80"/>
      <c r="J80" s="76"/>
      <c r="L80" s="80"/>
    </row>
    <row r="81" spans="1:12" ht="25.5">
      <c r="A81" s="221" t="s">
        <v>1567</v>
      </c>
      <c r="B81" s="85" t="s">
        <v>288</v>
      </c>
      <c r="C81" s="86" t="s">
        <v>1582</v>
      </c>
      <c r="D81" s="79">
        <f>+'Alimentazione CE Ricavi'!K99</f>
        <v>0</v>
      </c>
      <c r="E81" s="79">
        <f>+'Alimentazione CE Ricavi'!L99</f>
        <v>0</v>
      </c>
      <c r="F81" s="373"/>
      <c r="G81" s="228"/>
      <c r="H81" s="80"/>
      <c r="J81" s="76"/>
      <c r="L81" s="80"/>
    </row>
    <row r="82" spans="1:12" ht="25.5">
      <c r="A82" s="221" t="s">
        <v>1571</v>
      </c>
      <c r="B82" s="120" t="s">
        <v>290</v>
      </c>
      <c r="C82" s="121" t="s">
        <v>1583</v>
      </c>
      <c r="D82" s="122">
        <f t="shared" ref="D82:E82" si="15">+D83+D84</f>
        <v>206150.48</v>
      </c>
      <c r="E82" s="122">
        <f t="shared" si="15"/>
        <v>47421.65</v>
      </c>
      <c r="F82" s="65" t="s">
        <v>2110</v>
      </c>
      <c r="G82" s="228"/>
      <c r="H82" s="80"/>
      <c r="J82" s="76"/>
      <c r="L82" s="80"/>
    </row>
    <row r="83" spans="1:12" ht="18.75">
      <c r="A83" s="221" t="s">
        <v>1571</v>
      </c>
      <c r="B83" s="83" t="s">
        <v>292</v>
      </c>
      <c r="C83" s="84" t="s">
        <v>1584</v>
      </c>
      <c r="D83" s="79">
        <f>+'Alimentazione CE Ricavi'!K101</f>
        <v>0</v>
      </c>
      <c r="E83" s="79">
        <f>+'Alimentazione CE Ricavi'!L101</f>
        <v>0</v>
      </c>
      <c r="F83" s="373"/>
      <c r="G83" s="228"/>
      <c r="H83" s="80"/>
      <c r="J83" s="76"/>
      <c r="L83" s="80"/>
    </row>
    <row r="84" spans="1:12" ht="25.5">
      <c r="A84" s="221" t="s">
        <v>1571</v>
      </c>
      <c r="B84" s="83" t="s">
        <v>294</v>
      </c>
      <c r="C84" s="84" t="s">
        <v>1585</v>
      </c>
      <c r="D84" s="79">
        <f>+'Alimentazione CE Ricavi'!K103+'Alimentazione CE Ricavi'!K106+'Alimentazione CE Ricavi'!K104+'Alimentazione CE Ricavi'!K105</f>
        <v>206150.48</v>
      </c>
      <c r="E84" s="79">
        <f>+'Alimentazione CE Ricavi'!L103+'Alimentazione CE Ricavi'!L106+'Alimentazione CE Ricavi'!L104+'Alimentazione CE Ricavi'!L105</f>
        <v>47421.65</v>
      </c>
      <c r="F84" s="373"/>
      <c r="G84" s="228"/>
      <c r="H84" s="80"/>
      <c r="J84" s="76"/>
      <c r="L84" s="80"/>
    </row>
    <row r="85" spans="1:12" ht="18.75">
      <c r="A85" s="221"/>
      <c r="B85" s="85" t="s">
        <v>296</v>
      </c>
      <c r="C85" s="86" t="s">
        <v>1586</v>
      </c>
      <c r="D85" s="79">
        <f>+'Alimentazione CE Ricavi'!K107</f>
        <v>62942.97</v>
      </c>
      <c r="E85" s="79">
        <f>+'Alimentazione CE Ricavi'!L107</f>
        <v>63008.56</v>
      </c>
      <c r="F85" s="373"/>
      <c r="G85" s="228"/>
      <c r="H85" s="80"/>
      <c r="J85" s="76"/>
      <c r="L85" s="80"/>
    </row>
    <row r="86" spans="1:12" ht="25.5">
      <c r="A86" s="219" t="s">
        <v>1522</v>
      </c>
      <c r="B86" s="85" t="s">
        <v>298</v>
      </c>
      <c r="C86" s="86" t="s">
        <v>1587</v>
      </c>
      <c r="D86" s="79">
        <f>+'Alimentazione CE Ricavi'!K108</f>
        <v>0</v>
      </c>
      <c r="E86" s="79">
        <f>+'Alimentazione CE Ricavi'!L108</f>
        <v>0</v>
      </c>
      <c r="F86" s="373"/>
      <c r="G86" s="228"/>
      <c r="H86" s="80"/>
      <c r="J86" s="76"/>
      <c r="L86" s="80"/>
    </row>
    <row r="87" spans="1:12" ht="25.5">
      <c r="A87" s="219" t="s">
        <v>1571</v>
      </c>
      <c r="B87" s="85" t="s">
        <v>300</v>
      </c>
      <c r="C87" s="86" t="s">
        <v>1588</v>
      </c>
      <c r="D87" s="79">
        <f>+'Alimentazione CE Ricavi'!K109</f>
        <v>0</v>
      </c>
      <c r="E87" s="79">
        <f>+'Alimentazione CE Ricavi'!L109</f>
        <v>0</v>
      </c>
      <c r="F87" s="373"/>
      <c r="G87" s="228"/>
      <c r="H87" s="80"/>
      <c r="J87" s="76"/>
      <c r="L87" s="80"/>
    </row>
    <row r="88" spans="1:12" ht="25.5">
      <c r="A88" s="222" t="s">
        <v>1567</v>
      </c>
      <c r="B88" s="106" t="s">
        <v>302</v>
      </c>
      <c r="C88" s="107" t="s">
        <v>1589</v>
      </c>
      <c r="D88" s="105">
        <f t="shared" ref="D88:E88" si="16">SUM(D89:D93)</f>
        <v>0</v>
      </c>
      <c r="E88" s="105">
        <f t="shared" si="16"/>
        <v>0</v>
      </c>
      <c r="F88" s="65" t="s">
        <v>2110</v>
      </c>
      <c r="G88" s="228"/>
      <c r="H88" s="80"/>
      <c r="J88" s="76"/>
      <c r="L88" s="80"/>
    </row>
    <row r="89" spans="1:12" ht="18.75">
      <c r="A89" s="221" t="s">
        <v>1567</v>
      </c>
      <c r="B89" s="85" t="s">
        <v>304</v>
      </c>
      <c r="C89" s="86" t="s">
        <v>1590</v>
      </c>
      <c r="D89" s="79">
        <f>+'Alimentazione CE Ricavi'!K111</f>
        <v>0</v>
      </c>
      <c r="E89" s="79">
        <f>+'Alimentazione CE Ricavi'!L111</f>
        <v>0</v>
      </c>
      <c r="F89" s="373"/>
      <c r="G89" s="228"/>
      <c r="H89" s="80"/>
      <c r="J89" s="76"/>
      <c r="L89" s="80"/>
    </row>
    <row r="90" spans="1:12" ht="18.75">
      <c r="A90" s="221" t="s">
        <v>1567</v>
      </c>
      <c r="B90" s="83" t="s">
        <v>306</v>
      </c>
      <c r="C90" s="84" t="s">
        <v>1591</v>
      </c>
      <c r="D90" s="79">
        <f>+'Alimentazione CE Ricavi'!K112</f>
        <v>0</v>
      </c>
      <c r="E90" s="79">
        <f>+'Alimentazione CE Ricavi'!L112</f>
        <v>0</v>
      </c>
      <c r="F90" s="373"/>
      <c r="G90" s="228"/>
      <c r="H90" s="80"/>
      <c r="J90" s="76"/>
      <c r="L90" s="80"/>
    </row>
    <row r="91" spans="1:12" ht="25.5">
      <c r="A91" s="221" t="s">
        <v>1567</v>
      </c>
      <c r="B91" s="83" t="s">
        <v>308</v>
      </c>
      <c r="C91" s="84" t="s">
        <v>1592</v>
      </c>
      <c r="D91" s="79">
        <f>+'Alimentazione CE Ricavi'!K113</f>
        <v>0</v>
      </c>
      <c r="E91" s="79">
        <f>+'Alimentazione CE Ricavi'!L113</f>
        <v>0</v>
      </c>
      <c r="F91" s="373"/>
      <c r="G91" s="228"/>
      <c r="H91" s="80"/>
      <c r="J91" s="76"/>
      <c r="L91" s="80"/>
    </row>
    <row r="92" spans="1:12" ht="18.75">
      <c r="A92" s="219" t="s">
        <v>1567</v>
      </c>
      <c r="B92" s="83" t="s">
        <v>310</v>
      </c>
      <c r="C92" s="84" t="s">
        <v>1593</v>
      </c>
      <c r="D92" s="79">
        <f>+'Alimentazione CE Ricavi'!K114</f>
        <v>0</v>
      </c>
      <c r="E92" s="79">
        <f>+'Alimentazione CE Ricavi'!L114</f>
        <v>0</v>
      </c>
      <c r="F92" s="373"/>
      <c r="G92" s="228"/>
      <c r="H92" s="80"/>
      <c r="J92" s="76"/>
      <c r="L92" s="80"/>
    </row>
    <row r="93" spans="1:12" ht="25.5">
      <c r="A93" s="219" t="s">
        <v>1567</v>
      </c>
      <c r="B93" s="83" t="s">
        <v>312</v>
      </c>
      <c r="C93" s="84" t="s">
        <v>1594</v>
      </c>
      <c r="D93" s="79">
        <f>+'Alimentazione CE Ricavi'!K115</f>
        <v>0</v>
      </c>
      <c r="E93" s="79">
        <f>+'Alimentazione CE Ricavi'!L115</f>
        <v>0</v>
      </c>
      <c r="F93" s="373"/>
      <c r="G93" s="228"/>
      <c r="H93" s="80"/>
      <c r="J93" s="76"/>
      <c r="L93" s="80"/>
    </row>
    <row r="94" spans="1:12" ht="18.75">
      <c r="A94" s="219"/>
      <c r="B94" s="106" t="s">
        <v>314</v>
      </c>
      <c r="C94" s="107" t="s">
        <v>1595</v>
      </c>
      <c r="D94" s="105">
        <f>+ROUND(SUM('Alimentazione CE Ricavi'!K118:K152),2)</f>
        <v>903212.87</v>
      </c>
      <c r="E94" s="105">
        <f>+ROUND(SUM('Alimentazione CE Ricavi'!L118:L152),2)</f>
        <v>1036000.02</v>
      </c>
      <c r="F94" s="65"/>
      <c r="G94" s="228"/>
      <c r="H94" s="80"/>
      <c r="J94" s="76"/>
      <c r="L94" s="80"/>
    </row>
    <row r="95" spans="1:12" ht="18.75">
      <c r="A95" s="219"/>
      <c r="B95" s="106" t="s">
        <v>1596</v>
      </c>
      <c r="C95" s="107" t="s">
        <v>1597</v>
      </c>
      <c r="D95" s="105">
        <f t="shared" ref="D95:E95" si="17">SUM(D96:D102)</f>
        <v>1208606.4600000002</v>
      </c>
      <c r="E95" s="105">
        <f t="shared" si="17"/>
        <v>1057613.54</v>
      </c>
      <c r="F95" s="65" t="s">
        <v>2110</v>
      </c>
      <c r="G95" s="228"/>
      <c r="H95" s="80"/>
      <c r="J95" s="76"/>
      <c r="L95" s="80"/>
    </row>
    <row r="96" spans="1:12" ht="18.75">
      <c r="A96" s="219"/>
      <c r="B96" s="83" t="s">
        <v>351</v>
      </c>
      <c r="C96" s="84" t="s">
        <v>1598</v>
      </c>
      <c r="D96" s="79">
        <f>+'Alimentazione CE Ricavi'!K154</f>
        <v>128659.28</v>
      </c>
      <c r="E96" s="79">
        <f>+'Alimentazione CE Ricavi'!L154</f>
        <v>172998.52</v>
      </c>
      <c r="F96" s="65"/>
      <c r="G96" s="228"/>
      <c r="H96" s="80"/>
      <c r="J96" s="76"/>
      <c r="L96" s="80"/>
    </row>
    <row r="97" spans="1:12" ht="18.75">
      <c r="A97" s="219"/>
      <c r="B97" s="83" t="s">
        <v>353</v>
      </c>
      <c r="C97" s="84" t="s">
        <v>1599</v>
      </c>
      <c r="D97" s="79">
        <f>+'Alimentazione CE Ricavi'!K155</f>
        <v>830638</v>
      </c>
      <c r="E97" s="79">
        <f>+'Alimentazione CE Ricavi'!L155</f>
        <v>752678.6</v>
      </c>
      <c r="F97" s="65"/>
      <c r="G97" s="228"/>
      <c r="H97" s="80"/>
      <c r="J97" s="76"/>
      <c r="L97" s="80"/>
    </row>
    <row r="98" spans="1:12" ht="18.75">
      <c r="A98" s="219"/>
      <c r="B98" s="83" t="s">
        <v>355</v>
      </c>
      <c r="C98" s="84" t="s">
        <v>1600</v>
      </c>
      <c r="D98" s="79">
        <f>+'Alimentazione CE Ricavi'!K156</f>
        <v>0</v>
      </c>
      <c r="E98" s="79">
        <f>+'Alimentazione CE Ricavi'!L156</f>
        <v>0</v>
      </c>
      <c r="F98" s="65"/>
      <c r="G98" s="228"/>
      <c r="H98" s="80"/>
      <c r="J98" s="76"/>
      <c r="L98" s="80"/>
    </row>
    <row r="99" spans="1:12" ht="25.5">
      <c r="A99" s="219"/>
      <c r="B99" s="83" t="s">
        <v>357</v>
      </c>
      <c r="C99" s="84" t="s">
        <v>1601</v>
      </c>
      <c r="D99" s="79">
        <f>+'Alimentazione CE Ricavi'!K157</f>
        <v>200356.08</v>
      </c>
      <c r="E99" s="79">
        <f>+'Alimentazione CE Ricavi'!L157</f>
        <v>73504.75</v>
      </c>
      <c r="F99" s="65"/>
      <c r="G99" s="228"/>
      <c r="H99" s="80"/>
      <c r="J99" s="76"/>
      <c r="L99" s="80"/>
    </row>
    <row r="100" spans="1:12" ht="25.5">
      <c r="A100" s="219" t="s">
        <v>1522</v>
      </c>
      <c r="B100" s="83" t="s">
        <v>359</v>
      </c>
      <c r="C100" s="84" t="s">
        <v>1602</v>
      </c>
      <c r="D100" s="79">
        <f>+'Alimentazione CE Ricavi'!K158</f>
        <v>40723.99</v>
      </c>
      <c r="E100" s="79">
        <f>+'Alimentazione CE Ricavi'!L158</f>
        <v>44851.3</v>
      </c>
      <c r="F100" s="65"/>
      <c r="G100" s="228"/>
      <c r="H100" s="80"/>
      <c r="J100" s="76"/>
      <c r="L100" s="80"/>
    </row>
    <row r="101" spans="1:12" ht="18.75">
      <c r="A101" s="219"/>
      <c r="B101" s="83" t="s">
        <v>361</v>
      </c>
      <c r="C101" s="84" t="s">
        <v>1603</v>
      </c>
      <c r="D101" s="79">
        <f>+'Alimentazione CE Ricavi'!K159</f>
        <v>8229.11</v>
      </c>
      <c r="E101" s="79">
        <f>+'Alimentazione CE Ricavi'!L159</f>
        <v>13580.37</v>
      </c>
      <c r="F101" s="65"/>
      <c r="G101" s="228"/>
      <c r="H101" s="80"/>
      <c r="J101" s="76"/>
      <c r="L101" s="80"/>
    </row>
    <row r="102" spans="1:12" ht="18.75">
      <c r="A102" s="219" t="s">
        <v>1522</v>
      </c>
      <c r="B102" s="83" t="s">
        <v>363</v>
      </c>
      <c r="C102" s="84" t="s">
        <v>1604</v>
      </c>
      <c r="D102" s="79">
        <f>+'Alimentazione CE Ricavi'!K160</f>
        <v>0</v>
      </c>
      <c r="E102" s="79">
        <f>+'Alimentazione CE Ricavi'!L160</f>
        <v>0</v>
      </c>
      <c r="F102" s="65"/>
      <c r="G102" s="228"/>
      <c r="H102" s="80"/>
      <c r="J102" s="76"/>
      <c r="L102" s="80"/>
    </row>
    <row r="103" spans="1:12" ht="18.75">
      <c r="A103" s="219"/>
      <c r="B103" s="111" t="s">
        <v>1605</v>
      </c>
      <c r="C103" s="112" t="s">
        <v>1606</v>
      </c>
      <c r="D103" s="113">
        <f t="shared" ref="D103:E103" si="18">+D104+D105+D108+D113+D117</f>
        <v>970927.62000000011</v>
      </c>
      <c r="E103" s="113">
        <f t="shared" si="18"/>
        <v>4084307.4999999995</v>
      </c>
      <c r="F103" s="65"/>
      <c r="G103" s="228"/>
      <c r="H103" s="80"/>
      <c r="J103" s="76"/>
      <c r="L103" s="80"/>
    </row>
    <row r="104" spans="1:12" ht="18.75">
      <c r="A104" s="219"/>
      <c r="B104" s="81" t="s">
        <v>366</v>
      </c>
      <c r="C104" s="82" t="s">
        <v>1607</v>
      </c>
      <c r="D104" s="79">
        <f>+'Alimentazione CE Ricavi'!K162</f>
        <v>3768.9</v>
      </c>
      <c r="E104" s="79">
        <f>+'Alimentazione CE Ricavi'!L162</f>
        <v>57297.72</v>
      </c>
      <c r="F104" s="65"/>
      <c r="G104" s="228"/>
      <c r="H104" s="80"/>
      <c r="J104" s="76"/>
      <c r="L104" s="80"/>
    </row>
    <row r="105" spans="1:12" ht="18.75">
      <c r="A105" s="223"/>
      <c r="B105" s="106" t="s">
        <v>1608</v>
      </c>
      <c r="C105" s="107" t="s">
        <v>1609</v>
      </c>
      <c r="D105" s="105">
        <f t="shared" ref="D105:E105" si="19">+D106+D107</f>
        <v>0</v>
      </c>
      <c r="E105" s="105">
        <f t="shared" si="19"/>
        <v>0</v>
      </c>
      <c r="F105" s="65" t="s">
        <v>2110</v>
      </c>
      <c r="G105" s="228"/>
      <c r="H105" s="80"/>
      <c r="J105" s="76"/>
      <c r="L105" s="80"/>
    </row>
    <row r="106" spans="1:12" ht="25.5">
      <c r="A106" s="223"/>
      <c r="B106" s="83" t="s">
        <v>369</v>
      </c>
      <c r="C106" s="84" t="s">
        <v>1610</v>
      </c>
      <c r="D106" s="79">
        <f>+'Alimentazione CE Ricavi'!K164</f>
        <v>0</v>
      </c>
      <c r="E106" s="79">
        <f>+'Alimentazione CE Ricavi'!L164</f>
        <v>0</v>
      </c>
      <c r="F106" s="65"/>
      <c r="G106" s="228"/>
      <c r="H106" s="80"/>
      <c r="J106" s="76"/>
      <c r="L106" s="80"/>
    </row>
    <row r="107" spans="1:12" ht="18.75">
      <c r="A107" s="223"/>
      <c r="B107" s="83" t="s">
        <v>371</v>
      </c>
      <c r="C107" s="84" t="s">
        <v>1611</v>
      </c>
      <c r="D107" s="79">
        <f>+'Alimentazione CE Ricavi'!K165</f>
        <v>0</v>
      </c>
      <c r="E107" s="79">
        <f>+'Alimentazione CE Ricavi'!L165</f>
        <v>0</v>
      </c>
      <c r="F107" s="65"/>
      <c r="G107" s="228"/>
      <c r="H107" s="80"/>
      <c r="J107" s="76"/>
      <c r="L107" s="80"/>
    </row>
    <row r="108" spans="1:12" ht="18.75">
      <c r="A108" s="222" t="s">
        <v>1522</v>
      </c>
      <c r="B108" s="106" t="s">
        <v>1612</v>
      </c>
      <c r="C108" s="107" t="s">
        <v>1613</v>
      </c>
      <c r="D108" s="105">
        <f t="shared" ref="D108:E108" si="20">+D109+D110+D111+D112</f>
        <v>75297.97</v>
      </c>
      <c r="E108" s="105">
        <f t="shared" si="20"/>
        <v>249207.87</v>
      </c>
      <c r="F108" s="65" t="s">
        <v>2110</v>
      </c>
      <c r="G108" s="228"/>
      <c r="H108" s="80"/>
      <c r="J108" s="76"/>
      <c r="L108" s="80"/>
    </row>
    <row r="109" spans="1:12" ht="25.5">
      <c r="A109" s="219" t="s">
        <v>1522</v>
      </c>
      <c r="B109" s="83" t="s">
        <v>374</v>
      </c>
      <c r="C109" s="84" t="s">
        <v>1614</v>
      </c>
      <c r="D109" s="79">
        <f>+'Alimentazione CE Ricavi'!K167</f>
        <v>37063.71</v>
      </c>
      <c r="E109" s="79">
        <f>+'Alimentazione CE Ricavi'!L167</f>
        <v>0</v>
      </c>
      <c r="F109" s="65"/>
      <c r="G109" s="228"/>
      <c r="H109" s="80"/>
      <c r="J109" s="76"/>
      <c r="L109" s="80"/>
    </row>
    <row r="110" spans="1:12" ht="18.75">
      <c r="A110" s="219" t="s">
        <v>1522</v>
      </c>
      <c r="B110" s="83" t="s">
        <v>376</v>
      </c>
      <c r="C110" s="84" t="s">
        <v>1615</v>
      </c>
      <c r="D110" s="79">
        <f>+'Alimentazione CE Ricavi'!K168</f>
        <v>0</v>
      </c>
      <c r="E110" s="79">
        <f>+'Alimentazione CE Ricavi'!L168</f>
        <v>0</v>
      </c>
      <c r="F110" s="65"/>
      <c r="G110" s="228"/>
      <c r="H110" s="80"/>
      <c r="J110" s="76"/>
      <c r="L110" s="80"/>
    </row>
    <row r="111" spans="1:12" ht="18.75">
      <c r="A111" s="219" t="s">
        <v>1522</v>
      </c>
      <c r="B111" s="83" t="s">
        <v>378</v>
      </c>
      <c r="C111" s="84" t="s">
        <v>1616</v>
      </c>
      <c r="D111" s="79">
        <f>+'Alimentazione CE Ricavi'!K170+'Alimentazione CE Ricavi'!K171+'Alimentazione CE Ricavi'!K172</f>
        <v>38234.26</v>
      </c>
      <c r="E111" s="79">
        <f>+'Alimentazione CE Ricavi'!L170+'Alimentazione CE Ricavi'!L171+'Alimentazione CE Ricavi'!L172</f>
        <v>249207.87</v>
      </c>
      <c r="F111" s="65"/>
      <c r="G111" s="228"/>
      <c r="H111" s="80"/>
      <c r="J111" s="76"/>
      <c r="L111" s="80"/>
    </row>
    <row r="112" spans="1:12" ht="18.75">
      <c r="A112" s="219" t="s">
        <v>1522</v>
      </c>
      <c r="B112" s="83" t="s">
        <v>382</v>
      </c>
      <c r="C112" s="84" t="s">
        <v>1617</v>
      </c>
      <c r="D112" s="79">
        <f>+'Alimentazione CE Ricavi'!K173</f>
        <v>0</v>
      </c>
      <c r="E112" s="79">
        <f>+'Alimentazione CE Ricavi'!L173</f>
        <v>0</v>
      </c>
      <c r="F112" s="65"/>
      <c r="G112" s="228"/>
      <c r="H112" s="80"/>
      <c r="J112" s="76"/>
      <c r="L112" s="80"/>
    </row>
    <row r="113" spans="1:12" ht="18.75">
      <c r="A113" s="219"/>
      <c r="B113" s="106" t="s">
        <v>384</v>
      </c>
      <c r="C113" s="107" t="s">
        <v>1618</v>
      </c>
      <c r="D113" s="105">
        <f t="shared" ref="D113:E113" si="21">+D114+D115+D116</f>
        <v>113793.44</v>
      </c>
      <c r="E113" s="105">
        <f t="shared" si="21"/>
        <v>165445.08000000002</v>
      </c>
      <c r="F113" s="65" t="s">
        <v>2110</v>
      </c>
      <c r="G113" s="228"/>
      <c r="H113" s="80"/>
      <c r="J113" s="76"/>
      <c r="L113" s="80"/>
    </row>
    <row r="114" spans="1:12" ht="25.5">
      <c r="A114" s="219"/>
      <c r="B114" s="83" t="s">
        <v>386</v>
      </c>
      <c r="C114" s="84" t="s">
        <v>1619</v>
      </c>
      <c r="D114" s="79">
        <f>+'Alimentazione CE Ricavi'!K175</f>
        <v>4184.45</v>
      </c>
      <c r="E114" s="79">
        <f>+'Alimentazione CE Ricavi'!L175</f>
        <v>6624.79</v>
      </c>
      <c r="F114" s="65"/>
      <c r="G114" s="228"/>
      <c r="H114" s="80"/>
      <c r="J114" s="76"/>
      <c r="L114" s="80"/>
    </row>
    <row r="115" spans="1:12" ht="18.75">
      <c r="A115" s="219"/>
      <c r="B115" s="83" t="s">
        <v>388</v>
      </c>
      <c r="C115" s="84" t="s">
        <v>1620</v>
      </c>
      <c r="D115" s="79">
        <f>+'Alimentazione CE Ricavi'!K176</f>
        <v>0</v>
      </c>
      <c r="E115" s="79">
        <f>+'Alimentazione CE Ricavi'!L176</f>
        <v>0</v>
      </c>
      <c r="F115" s="65"/>
      <c r="G115" s="228"/>
      <c r="H115" s="80"/>
      <c r="J115" s="76"/>
      <c r="L115" s="80"/>
    </row>
    <row r="116" spans="1:12" ht="18.75">
      <c r="A116" s="219"/>
      <c r="B116" s="83" t="s">
        <v>390</v>
      </c>
      <c r="C116" s="84" t="s">
        <v>1621</v>
      </c>
      <c r="D116" s="79">
        <f>+ROUND(SUM('Alimentazione CE Ricavi'!K178:K183),2)</f>
        <v>109608.99</v>
      </c>
      <c r="E116" s="79">
        <f>+ROUND(SUM('Alimentazione CE Ricavi'!L178:L183),2)</f>
        <v>158820.29</v>
      </c>
      <c r="F116" s="65"/>
      <c r="G116" s="228"/>
      <c r="H116" s="80"/>
      <c r="J116" s="76"/>
      <c r="L116" s="80"/>
    </row>
    <row r="117" spans="1:12" ht="18.75">
      <c r="A117" s="219"/>
      <c r="B117" s="106" t="s">
        <v>397</v>
      </c>
      <c r="C117" s="107" t="s">
        <v>1622</v>
      </c>
      <c r="D117" s="105">
        <f t="shared" ref="D117:E117" si="22">+D118+D122+D123</f>
        <v>778067.31</v>
      </c>
      <c r="E117" s="105">
        <f t="shared" si="22"/>
        <v>3612356.8299999996</v>
      </c>
      <c r="F117" s="65" t="s">
        <v>2110</v>
      </c>
      <c r="G117" s="228"/>
      <c r="H117" s="80"/>
      <c r="J117" s="76"/>
      <c r="L117" s="80"/>
    </row>
    <row r="118" spans="1:12" ht="18.75">
      <c r="A118" s="219"/>
      <c r="B118" s="123" t="s">
        <v>399</v>
      </c>
      <c r="C118" s="124" t="s">
        <v>1623</v>
      </c>
      <c r="D118" s="125">
        <f t="shared" ref="D118:E118" si="23">+D119+D120+D121</f>
        <v>680407.54</v>
      </c>
      <c r="E118" s="125">
        <f t="shared" si="23"/>
        <v>1826451.43</v>
      </c>
      <c r="F118" s="65" t="s">
        <v>2110</v>
      </c>
      <c r="G118" s="229"/>
      <c r="H118" s="80"/>
      <c r="J118" s="76"/>
      <c r="L118" s="80"/>
    </row>
    <row r="119" spans="1:12" ht="18.75">
      <c r="A119" s="219"/>
      <c r="B119" s="85" t="s">
        <v>401</v>
      </c>
      <c r="C119" s="86" t="s">
        <v>1624</v>
      </c>
      <c r="D119" s="79">
        <f>+'Alimentazione CE Ricavi'!K186</f>
        <v>0</v>
      </c>
      <c r="E119" s="79">
        <f>+'Alimentazione CE Ricavi'!L186</f>
        <v>0</v>
      </c>
      <c r="F119" s="65"/>
      <c r="G119" s="228"/>
      <c r="H119" s="80"/>
      <c r="J119" s="76"/>
      <c r="L119" s="80"/>
    </row>
    <row r="120" spans="1:12" ht="18.75">
      <c r="A120" s="219"/>
      <c r="B120" s="85" t="s">
        <v>403</v>
      </c>
      <c r="C120" s="86" t="s">
        <v>1625</v>
      </c>
      <c r="D120" s="79">
        <f>+'Alimentazione CE Ricavi'!K187</f>
        <v>502631</v>
      </c>
      <c r="E120" s="79">
        <f>+'Alimentazione CE Ricavi'!L187</f>
        <v>1540561.66</v>
      </c>
      <c r="F120" s="65"/>
      <c r="G120" s="228"/>
      <c r="H120" s="80"/>
      <c r="J120" s="76"/>
      <c r="L120" s="80"/>
    </row>
    <row r="121" spans="1:12" ht="18.75">
      <c r="A121" s="219"/>
      <c r="B121" s="85" t="s">
        <v>405</v>
      </c>
      <c r="C121" s="86" t="s">
        <v>1626</v>
      </c>
      <c r="D121" s="79">
        <f>+'Alimentazione CE Ricavi'!K188</f>
        <v>177776.54</v>
      </c>
      <c r="E121" s="79">
        <f>+'Alimentazione CE Ricavi'!L188</f>
        <v>285889.77</v>
      </c>
      <c r="F121" s="65"/>
      <c r="G121" s="228"/>
      <c r="H121" s="80"/>
      <c r="J121" s="76"/>
      <c r="L121" s="80"/>
    </row>
    <row r="122" spans="1:12" ht="18.75">
      <c r="A122" s="221"/>
      <c r="B122" s="83" t="s">
        <v>407</v>
      </c>
      <c r="C122" s="84" t="s">
        <v>1627</v>
      </c>
      <c r="D122" s="79">
        <f>+'Alimentazione CE Ricavi'!K189</f>
        <v>0</v>
      </c>
      <c r="E122" s="79">
        <f>+'Alimentazione CE Ricavi'!L189</f>
        <v>1676338.96</v>
      </c>
      <c r="F122" s="373"/>
      <c r="G122" s="228"/>
      <c r="H122" s="80"/>
      <c r="J122" s="76"/>
      <c r="L122" s="80"/>
    </row>
    <row r="123" spans="1:12" ht="18.75">
      <c r="A123" s="221"/>
      <c r="B123" s="83" t="s">
        <v>409</v>
      </c>
      <c r="C123" s="84" t="s">
        <v>1628</v>
      </c>
      <c r="D123" s="79">
        <f>+ROUND(SUM('Alimentazione CE Ricavi'!K191:K203),2)</f>
        <v>97659.77</v>
      </c>
      <c r="E123" s="79">
        <f>+ROUND(SUM('Alimentazione CE Ricavi'!L191:L203),2)</f>
        <v>109566.44</v>
      </c>
      <c r="F123" s="373"/>
      <c r="G123" s="228"/>
      <c r="H123" s="80"/>
      <c r="J123" s="76"/>
      <c r="L123" s="80"/>
    </row>
    <row r="124" spans="1:12" ht="18.75">
      <c r="A124" s="221"/>
      <c r="B124" s="111" t="s">
        <v>423</v>
      </c>
      <c r="C124" s="112" t="s">
        <v>1629</v>
      </c>
      <c r="D124" s="113">
        <f t="shared" ref="D124:E124" si="24">+D125+D126+D127</f>
        <v>1672348.2000000002</v>
      </c>
      <c r="E124" s="113">
        <f t="shared" si="24"/>
        <v>1556720.2</v>
      </c>
      <c r="F124" s="65" t="s">
        <v>2110</v>
      </c>
      <c r="G124" s="228"/>
      <c r="H124" s="80"/>
      <c r="J124" s="76"/>
      <c r="L124" s="80"/>
    </row>
    <row r="125" spans="1:12" ht="25.5">
      <c r="A125" s="221"/>
      <c r="B125" s="81" t="s">
        <v>424</v>
      </c>
      <c r="C125" s="82" t="s">
        <v>1630</v>
      </c>
      <c r="D125" s="79">
        <f>+'Alimentazione CE Ricavi'!K205</f>
        <v>1657734.1</v>
      </c>
      <c r="E125" s="79">
        <f>+'Alimentazione CE Ricavi'!L205</f>
        <v>1545792.5</v>
      </c>
      <c r="F125" s="373"/>
      <c r="G125" s="228"/>
      <c r="H125" s="80"/>
      <c r="J125" s="76"/>
      <c r="L125" s="80"/>
    </row>
    <row r="126" spans="1:12" ht="18.75">
      <c r="A126" s="219"/>
      <c r="B126" s="81" t="s">
        <v>426</v>
      </c>
      <c r="C126" s="82" t="s">
        <v>1631</v>
      </c>
      <c r="D126" s="79">
        <f>+'Alimentazione CE Ricavi'!K206</f>
        <v>14614.1</v>
      </c>
      <c r="E126" s="79">
        <f>+'Alimentazione CE Ricavi'!L206</f>
        <v>10927.7</v>
      </c>
      <c r="F126" s="65"/>
      <c r="G126" s="228"/>
      <c r="H126" s="80"/>
      <c r="J126" s="76"/>
      <c r="L126" s="80"/>
    </row>
    <row r="127" spans="1:12" ht="18.75">
      <c r="A127" s="219"/>
      <c r="B127" s="81" t="s">
        <v>428</v>
      </c>
      <c r="C127" s="82" t="s">
        <v>1632</v>
      </c>
      <c r="D127" s="79">
        <f>+'Alimentazione CE Ricavi'!K207</f>
        <v>0</v>
      </c>
      <c r="E127" s="79">
        <f>+'Alimentazione CE Ricavi'!L207</f>
        <v>0</v>
      </c>
      <c r="F127" s="65"/>
      <c r="G127" s="228"/>
      <c r="H127" s="80"/>
      <c r="J127" s="76"/>
      <c r="L127" s="80"/>
    </row>
    <row r="128" spans="1:12" ht="18.75">
      <c r="A128" s="219"/>
      <c r="B128" s="111" t="s">
        <v>430</v>
      </c>
      <c r="C128" s="112" t="s">
        <v>1633</v>
      </c>
      <c r="D128" s="113">
        <f t="shared" ref="D128:E128" si="25">+D129+D130+D131+D132+D133+D134</f>
        <v>3018515.68</v>
      </c>
      <c r="E128" s="113">
        <f t="shared" si="25"/>
        <v>2785265.42</v>
      </c>
      <c r="F128" s="65" t="s">
        <v>2110</v>
      </c>
      <c r="G128" s="228"/>
      <c r="H128" s="80"/>
      <c r="J128" s="76"/>
      <c r="L128" s="80"/>
    </row>
    <row r="129" spans="1:12" ht="18.75">
      <c r="A129" s="219"/>
      <c r="B129" s="81" t="s">
        <v>432</v>
      </c>
      <c r="C129" s="82" t="s">
        <v>1634</v>
      </c>
      <c r="D129" s="79">
        <f>+'Alimentazione CE Ricavi'!K209</f>
        <v>555733.72</v>
      </c>
      <c r="E129" s="79">
        <f>+'Alimentazione CE Ricavi'!L209</f>
        <v>506034.04</v>
      </c>
      <c r="F129" s="65"/>
      <c r="G129" s="228"/>
      <c r="H129" s="80"/>
      <c r="J129" s="76"/>
      <c r="L129" s="80"/>
    </row>
    <row r="130" spans="1:12" ht="18.75">
      <c r="A130" s="219"/>
      <c r="B130" s="81" t="s">
        <v>434</v>
      </c>
      <c r="C130" s="82" t="s">
        <v>1635</v>
      </c>
      <c r="D130" s="79">
        <f>+'Alimentazione CE Ricavi'!K210</f>
        <v>1737503.01</v>
      </c>
      <c r="E130" s="79">
        <f>+'Alimentazione CE Ricavi'!L210</f>
        <v>1466889.58</v>
      </c>
      <c r="F130" s="65"/>
      <c r="G130" s="228"/>
      <c r="H130" s="80"/>
      <c r="J130" s="76"/>
      <c r="L130" s="80"/>
    </row>
    <row r="131" spans="1:12" ht="18.75">
      <c r="A131" s="219"/>
      <c r="B131" s="81" t="s">
        <v>436</v>
      </c>
      <c r="C131" s="82" t="s">
        <v>1636</v>
      </c>
      <c r="D131" s="79">
        <f>+'Alimentazione CE Ricavi'!K211</f>
        <v>185533.9</v>
      </c>
      <c r="E131" s="79">
        <f>+'Alimentazione CE Ricavi'!L211</f>
        <v>0</v>
      </c>
      <c r="F131" s="65"/>
      <c r="G131" s="228"/>
      <c r="H131" s="80"/>
      <c r="J131" s="76"/>
      <c r="L131" s="80"/>
    </row>
    <row r="132" spans="1:12" ht="18.75">
      <c r="A132" s="219"/>
      <c r="B132" s="81" t="s">
        <v>438</v>
      </c>
      <c r="C132" s="82" t="s">
        <v>1637</v>
      </c>
      <c r="D132" s="79">
        <f>+'Alimentazione CE Ricavi'!K212</f>
        <v>0</v>
      </c>
      <c r="E132" s="79">
        <f>+'Alimentazione CE Ricavi'!L212</f>
        <v>0</v>
      </c>
      <c r="F132" s="65"/>
      <c r="G132" s="228"/>
      <c r="H132" s="80"/>
      <c r="J132" s="76"/>
      <c r="L132" s="80"/>
    </row>
    <row r="133" spans="1:12" ht="25.5">
      <c r="A133" s="219"/>
      <c r="B133" s="81" t="s">
        <v>440</v>
      </c>
      <c r="C133" s="82" t="s">
        <v>1638</v>
      </c>
      <c r="D133" s="79">
        <f>+'Alimentazione CE Ricavi'!K213</f>
        <v>16467.14</v>
      </c>
      <c r="E133" s="79">
        <f>+'Alimentazione CE Ricavi'!L213</f>
        <v>0</v>
      </c>
      <c r="F133" s="65"/>
      <c r="G133" s="228"/>
      <c r="H133" s="80"/>
      <c r="J133" s="76"/>
      <c r="L133" s="80"/>
    </row>
    <row r="134" spans="1:12" ht="18.75">
      <c r="A134" s="219"/>
      <c r="B134" s="81" t="s">
        <v>442</v>
      </c>
      <c r="C134" s="82" t="s">
        <v>1639</v>
      </c>
      <c r="D134" s="79">
        <f>+'Alimentazione CE Ricavi'!K214</f>
        <v>523277.91</v>
      </c>
      <c r="E134" s="79">
        <f>+'Alimentazione CE Ricavi'!L214</f>
        <v>812341.8</v>
      </c>
      <c r="F134" s="65"/>
      <c r="G134" s="228"/>
      <c r="H134" s="80"/>
      <c r="J134" s="76"/>
      <c r="L134" s="80"/>
    </row>
    <row r="135" spans="1:12" ht="18.75">
      <c r="A135" s="219"/>
      <c r="B135" s="111" t="s">
        <v>443</v>
      </c>
      <c r="C135" s="112" t="s">
        <v>1640</v>
      </c>
      <c r="D135" s="113">
        <f>+'Alimentazione CE Ricavi'!K215</f>
        <v>7864.95</v>
      </c>
      <c r="E135" s="113">
        <f>+'Alimentazione CE Ricavi'!L215</f>
        <v>0</v>
      </c>
      <c r="F135" s="65"/>
      <c r="G135" s="228"/>
      <c r="H135" s="80"/>
      <c r="J135" s="76"/>
      <c r="L135" s="80"/>
    </row>
    <row r="136" spans="1:12" ht="18.75">
      <c r="A136" s="219"/>
      <c r="B136" s="111" t="s">
        <v>444</v>
      </c>
      <c r="C136" s="112" t="s">
        <v>1641</v>
      </c>
      <c r="D136" s="113">
        <f t="shared" ref="D136:E136" si="26">+D137+D138+D139</f>
        <v>287710.53000000003</v>
      </c>
      <c r="E136" s="113">
        <f t="shared" si="26"/>
        <v>306740.74</v>
      </c>
      <c r="F136" s="65" t="s">
        <v>2110</v>
      </c>
      <c r="G136" s="228"/>
      <c r="H136" s="80"/>
      <c r="J136" s="76"/>
      <c r="L136" s="80"/>
    </row>
    <row r="137" spans="1:12" ht="18.75">
      <c r="A137" s="219"/>
      <c r="B137" s="81" t="s">
        <v>446</v>
      </c>
      <c r="C137" s="82" t="s">
        <v>1642</v>
      </c>
      <c r="D137" s="79">
        <f>+'Alimentazione CE Ricavi'!K218+'Alimentazione CE Ricavi'!K219+'Alimentazione CE Ricavi'!K220</f>
        <v>0</v>
      </c>
      <c r="E137" s="79">
        <f>+'Alimentazione CE Ricavi'!L218+'Alimentazione CE Ricavi'!L219+'Alimentazione CE Ricavi'!L220</f>
        <v>12000.15</v>
      </c>
      <c r="F137" s="65"/>
      <c r="G137" s="228"/>
      <c r="H137" s="80"/>
      <c r="J137" s="76"/>
      <c r="L137" s="80"/>
    </row>
    <row r="138" spans="1:12" ht="18.75">
      <c r="A138" s="219"/>
      <c r="B138" s="81" t="s">
        <v>451</v>
      </c>
      <c r="C138" s="82" t="s">
        <v>1643</v>
      </c>
      <c r="D138" s="79">
        <f>+'Alimentazione CE Ricavi'!K222+'Alimentazione CE Ricavi'!K223+'Alimentazione CE Ricavi'!K224</f>
        <v>1359.02</v>
      </c>
      <c r="E138" s="79">
        <f>+'Alimentazione CE Ricavi'!L222+'Alimentazione CE Ricavi'!L223+'Alimentazione CE Ricavi'!L224</f>
        <v>15276.24</v>
      </c>
      <c r="F138" s="65"/>
      <c r="G138" s="228"/>
      <c r="H138" s="80"/>
      <c r="J138" s="76"/>
      <c r="L138" s="80"/>
    </row>
    <row r="139" spans="1:12" ht="18.75">
      <c r="A139" s="219"/>
      <c r="B139" s="81" t="s">
        <v>456</v>
      </c>
      <c r="C139" s="82" t="s">
        <v>1644</v>
      </c>
      <c r="D139" s="79">
        <f>+'Alimentazione CE Ricavi'!K226+'Alimentazione CE Ricavi'!K227+'Alimentazione CE Ricavi'!K228</f>
        <v>286351.51</v>
      </c>
      <c r="E139" s="79">
        <f>+'Alimentazione CE Ricavi'!L226+'Alimentazione CE Ricavi'!L227+'Alimentazione CE Ricavi'!L228</f>
        <v>279464.34999999998</v>
      </c>
      <c r="F139" s="65"/>
      <c r="G139" s="228"/>
      <c r="H139" s="80"/>
      <c r="J139" s="76"/>
      <c r="L139" s="80"/>
    </row>
    <row r="140" spans="1:12" ht="18.75">
      <c r="A140" s="219"/>
      <c r="B140" s="114" t="s">
        <v>1645</v>
      </c>
      <c r="C140" s="115" t="s">
        <v>1646</v>
      </c>
      <c r="D140" s="116">
        <f t="shared" ref="D140:E140" si="27">+D136+D135+D128+D124+D103+D48+D42+D39+D8</f>
        <v>95621598.149999991</v>
      </c>
      <c r="E140" s="116">
        <f t="shared" si="27"/>
        <v>94727964.819999993</v>
      </c>
      <c r="F140" s="65" t="s">
        <v>2110</v>
      </c>
      <c r="G140" s="228"/>
      <c r="H140" s="80"/>
      <c r="J140" s="76"/>
      <c r="L140" s="80"/>
    </row>
    <row r="141" spans="1:12" ht="18.75">
      <c r="A141" s="219"/>
      <c r="B141" s="127"/>
      <c r="C141" s="131" t="s">
        <v>1647</v>
      </c>
      <c r="D141" s="129"/>
      <c r="E141" s="129"/>
      <c r="F141" s="65"/>
      <c r="G141" s="228"/>
      <c r="H141" s="80"/>
      <c r="J141" s="76"/>
      <c r="L141" s="80"/>
    </row>
    <row r="142" spans="1:12" ht="18.75">
      <c r="A142" s="219"/>
      <c r="B142" s="111" t="s">
        <v>537</v>
      </c>
      <c r="C142" s="112" t="s">
        <v>1648</v>
      </c>
      <c r="D142" s="113">
        <f t="shared" ref="D142:E142" si="28">+D143+D174</f>
        <v>14636790.390000002</v>
      </c>
      <c r="E142" s="113">
        <f t="shared" si="28"/>
        <v>15503892.16</v>
      </c>
      <c r="F142" s="65" t="s">
        <v>2110</v>
      </c>
      <c r="G142" s="228"/>
      <c r="H142" s="80"/>
      <c r="J142" s="76"/>
      <c r="L142" s="80"/>
    </row>
    <row r="143" spans="1:12" ht="18.75">
      <c r="A143" s="219"/>
      <c r="B143" s="106" t="s">
        <v>539</v>
      </c>
      <c r="C143" s="107" t="s">
        <v>1649</v>
      </c>
      <c r="D143" s="105">
        <f t="shared" ref="D143:E143" si="29">+D144+D152+D156+D160+D161+D162+D163+D164+D165</f>
        <v>14150077.260000002</v>
      </c>
      <c r="E143" s="105">
        <f t="shared" si="29"/>
        <v>14897339.220000001</v>
      </c>
      <c r="F143" s="65" t="s">
        <v>2110</v>
      </c>
      <c r="G143" s="228"/>
      <c r="H143" s="80"/>
      <c r="J143" s="76"/>
      <c r="L143" s="80"/>
    </row>
    <row r="144" spans="1:12" ht="18.75">
      <c r="A144" s="219"/>
      <c r="B144" s="117" t="s">
        <v>541</v>
      </c>
      <c r="C144" s="118" t="s">
        <v>1650</v>
      </c>
      <c r="D144" s="119">
        <f t="shared" ref="D144:E144" si="30">SUM(D145:D148)</f>
        <v>1855673.7</v>
      </c>
      <c r="E144" s="119">
        <f t="shared" si="30"/>
        <v>3327912.7199999997</v>
      </c>
      <c r="F144" s="65" t="s">
        <v>2110</v>
      </c>
      <c r="G144" s="228"/>
      <c r="H144" s="80"/>
      <c r="J144" s="76"/>
      <c r="L144" s="80"/>
    </row>
    <row r="145" spans="1:12" ht="25.5">
      <c r="A145" s="221"/>
      <c r="B145" s="85" t="s">
        <v>543</v>
      </c>
      <c r="C145" s="86" t="s">
        <v>1651</v>
      </c>
      <c r="D145" s="79">
        <f>ROUND('Alimentazione CE Costi'!K6+'Alimentazione CE Costi'!K7,2)</f>
        <v>1758868.4</v>
      </c>
      <c r="E145" s="79">
        <f>ROUND('Alimentazione CE Costi'!L6+'Alimentazione CE Costi'!L7,2)</f>
        <v>3232490.89</v>
      </c>
      <c r="F145" s="373"/>
      <c r="G145" s="228"/>
      <c r="H145" s="80"/>
      <c r="J145" s="76"/>
      <c r="L145" s="80"/>
    </row>
    <row r="146" spans="1:12" ht="18.75">
      <c r="A146" s="221"/>
      <c r="B146" s="85" t="s">
        <v>546</v>
      </c>
      <c r="C146" s="86" t="s">
        <v>1652</v>
      </c>
      <c r="D146" s="79">
        <f>ROUND('Alimentazione CE Costi'!K8+'Alimentazione CE Costi'!K9,2)</f>
        <v>24319.439999999999</v>
      </c>
      <c r="E146" s="79">
        <f>ROUND('Alimentazione CE Costi'!L8+'Alimentazione CE Costi'!L9,2)</f>
        <v>9229.7800000000007</v>
      </c>
      <c r="F146" s="373"/>
      <c r="G146" s="228"/>
      <c r="H146" s="80"/>
      <c r="J146" s="76"/>
      <c r="L146" s="80"/>
    </row>
    <row r="147" spans="1:12" ht="18.75">
      <c r="A147" s="221"/>
      <c r="B147" s="85" t="s">
        <v>548</v>
      </c>
      <c r="C147" s="86" t="s">
        <v>1653</v>
      </c>
      <c r="D147" s="79">
        <f>ROUND('Alimentazione CE Costi'!K10,2)</f>
        <v>72485.86</v>
      </c>
      <c r="E147" s="79">
        <f>ROUND('Alimentazione CE Costi'!L10,2)</f>
        <v>86192.05</v>
      </c>
      <c r="F147" s="373"/>
      <c r="G147" s="228"/>
      <c r="H147" s="80"/>
      <c r="J147" s="76"/>
      <c r="L147" s="80"/>
    </row>
    <row r="148" spans="1:12" ht="18.75">
      <c r="A148" s="219"/>
      <c r="B148" s="120" t="s">
        <v>550</v>
      </c>
      <c r="C148" s="121" t="s">
        <v>1654</v>
      </c>
      <c r="D148" s="122">
        <f t="shared" ref="D148:E148" si="31">SUM(D149:D151)</f>
        <v>0</v>
      </c>
      <c r="E148" s="122">
        <f t="shared" si="31"/>
        <v>0</v>
      </c>
      <c r="F148" s="65" t="s">
        <v>2110</v>
      </c>
      <c r="G148" s="228"/>
      <c r="H148" s="80"/>
      <c r="J148" s="76"/>
      <c r="L148" s="80"/>
    </row>
    <row r="149" spans="1:12" ht="25.5">
      <c r="A149" s="221" t="s">
        <v>1522</v>
      </c>
      <c r="B149" s="85" t="s">
        <v>552</v>
      </c>
      <c r="C149" s="86" t="s">
        <v>1655</v>
      </c>
      <c r="D149" s="79">
        <f>ROUND('Alimentazione CE Costi'!K12,2)</f>
        <v>0</v>
      </c>
      <c r="E149" s="79">
        <f>ROUND('Alimentazione CE Costi'!L12,2)</f>
        <v>0</v>
      </c>
      <c r="F149" s="373"/>
      <c r="G149" s="228"/>
      <c r="H149" s="80"/>
      <c r="J149" s="76"/>
      <c r="L149" s="80"/>
    </row>
    <row r="150" spans="1:12" ht="25.5">
      <c r="A150" s="221" t="s">
        <v>1567</v>
      </c>
      <c r="B150" s="85" t="s">
        <v>554</v>
      </c>
      <c r="C150" s="86" t="s">
        <v>1656</v>
      </c>
      <c r="D150" s="79">
        <f>ROUND('Alimentazione CE Costi'!K13,2)</f>
        <v>0</v>
      </c>
      <c r="E150" s="79">
        <f>ROUND('Alimentazione CE Costi'!L13,2)</f>
        <v>0</v>
      </c>
      <c r="F150" s="373"/>
      <c r="G150" s="228"/>
      <c r="H150" s="80"/>
      <c r="J150" s="76"/>
      <c r="L150" s="80"/>
    </row>
    <row r="151" spans="1:12" ht="18.75">
      <c r="A151" s="221"/>
      <c r="B151" s="85" t="s">
        <v>556</v>
      </c>
      <c r="C151" s="86" t="s">
        <v>1657</v>
      </c>
      <c r="D151" s="79">
        <f>ROUND('Alimentazione CE Costi'!K14,2)</f>
        <v>0</v>
      </c>
      <c r="E151" s="79">
        <f>ROUND('Alimentazione CE Costi'!L14,2)</f>
        <v>0</v>
      </c>
      <c r="F151" s="373"/>
      <c r="G151" s="228"/>
      <c r="H151" s="80"/>
      <c r="J151" s="76"/>
      <c r="L151" s="80"/>
    </row>
    <row r="152" spans="1:12" ht="18.75">
      <c r="A152" s="219"/>
      <c r="B152" s="117" t="s">
        <v>558</v>
      </c>
      <c r="C152" s="118" t="s">
        <v>1658</v>
      </c>
      <c r="D152" s="119">
        <f t="shared" ref="D152:E152" si="32">SUM(D153:D155)</f>
        <v>0</v>
      </c>
      <c r="E152" s="119">
        <f t="shared" si="32"/>
        <v>0</v>
      </c>
      <c r="F152" s="65" t="s">
        <v>2110</v>
      </c>
      <c r="G152" s="228"/>
      <c r="H152" s="80"/>
      <c r="J152" s="76"/>
      <c r="L152" s="80"/>
    </row>
    <row r="153" spans="1:12" ht="18.75">
      <c r="A153" s="219" t="s">
        <v>1522</v>
      </c>
      <c r="B153" s="85" t="s">
        <v>560</v>
      </c>
      <c r="C153" s="86" t="s">
        <v>1659</v>
      </c>
      <c r="D153" s="79">
        <f>ROUND('Alimentazione CE Costi'!K16,2)</f>
        <v>0</v>
      </c>
      <c r="E153" s="79">
        <f>ROUND('Alimentazione CE Costi'!L16,2)</f>
        <v>0</v>
      </c>
      <c r="F153" s="65"/>
      <c r="G153" s="228"/>
      <c r="H153" s="80"/>
      <c r="J153" s="76"/>
      <c r="L153" s="80"/>
    </row>
    <row r="154" spans="1:12" ht="18.75">
      <c r="A154" s="219" t="s">
        <v>1567</v>
      </c>
      <c r="B154" s="85" t="s">
        <v>562</v>
      </c>
      <c r="C154" s="86" t="s">
        <v>1660</v>
      </c>
      <c r="D154" s="79">
        <f>ROUND('Alimentazione CE Costi'!K17,2)</f>
        <v>0</v>
      </c>
      <c r="E154" s="79">
        <f>ROUND('Alimentazione CE Costi'!L17,2)</f>
        <v>0</v>
      </c>
      <c r="F154" s="65"/>
      <c r="G154" s="228"/>
      <c r="H154" s="80"/>
      <c r="J154" s="76"/>
      <c r="L154" s="80"/>
    </row>
    <row r="155" spans="1:12" ht="18.75">
      <c r="A155" s="219"/>
      <c r="B155" s="85" t="s">
        <v>564</v>
      </c>
      <c r="C155" s="86" t="s">
        <v>1661</v>
      </c>
      <c r="D155" s="79">
        <f>ROUND('Alimentazione CE Costi'!K18,2)</f>
        <v>0</v>
      </c>
      <c r="E155" s="79">
        <f>ROUND('Alimentazione CE Costi'!L18,2)</f>
        <v>0</v>
      </c>
      <c r="F155" s="65"/>
      <c r="G155" s="228"/>
      <c r="H155" s="80"/>
      <c r="J155" s="76"/>
      <c r="L155" s="80"/>
    </row>
    <row r="156" spans="1:12" ht="18.75">
      <c r="A156" s="219"/>
      <c r="B156" s="117" t="s">
        <v>566</v>
      </c>
      <c r="C156" s="118" t="s">
        <v>1662</v>
      </c>
      <c r="D156" s="119">
        <f t="shared" ref="D156:E156" si="33">SUM(D157:D159)</f>
        <v>7039343.8599999994</v>
      </c>
      <c r="E156" s="119">
        <f t="shared" si="33"/>
        <v>6244629.8700000001</v>
      </c>
      <c r="F156" s="375" t="s">
        <v>2110</v>
      </c>
      <c r="G156" s="228"/>
      <c r="H156" s="80"/>
      <c r="J156" s="76"/>
      <c r="L156" s="80"/>
    </row>
    <row r="157" spans="1:12" ht="18.75">
      <c r="A157" s="219"/>
      <c r="B157" s="85" t="s">
        <v>568</v>
      </c>
      <c r="C157" s="86" t="s">
        <v>1663</v>
      </c>
      <c r="D157" s="79">
        <f>ROUND('Alimentazione CE Costi'!K20+'Alimentazione CE Costi'!K21,2)</f>
        <v>2582133.04</v>
      </c>
      <c r="E157" s="79">
        <f>ROUND('Alimentazione CE Costi'!L20+'Alimentazione CE Costi'!L21,2)</f>
        <v>2182402.4300000002</v>
      </c>
      <c r="F157" s="65"/>
      <c r="G157" s="228"/>
      <c r="H157" s="80"/>
      <c r="J157" s="76"/>
      <c r="L157" s="80"/>
    </row>
    <row r="158" spans="1:12" ht="18.75">
      <c r="A158" s="219"/>
      <c r="B158" s="85" t="s">
        <v>570</v>
      </c>
      <c r="C158" s="86" t="s">
        <v>1664</v>
      </c>
      <c r="D158" s="79">
        <f>ROUND('Alimentazione CE Costi'!K22+'Alimentazione CE Costi'!K23,2)</f>
        <v>353496</v>
      </c>
      <c r="E158" s="79">
        <f>ROUND('Alimentazione CE Costi'!L22+'Alimentazione CE Costi'!L23,2)</f>
        <v>387121.28</v>
      </c>
      <c r="F158" s="65"/>
      <c r="G158" s="228"/>
      <c r="H158" s="80"/>
      <c r="J158" s="76"/>
      <c r="L158" s="80"/>
    </row>
    <row r="159" spans="1:12" ht="18.75">
      <c r="A159" s="219"/>
      <c r="B159" s="85" t="s">
        <v>572</v>
      </c>
      <c r="C159" s="86" t="s">
        <v>1665</v>
      </c>
      <c r="D159" s="79">
        <f>ROUND('Alimentazione CE Costi'!K24+'Alimentazione CE Costi'!K25,2)</f>
        <v>4103714.82</v>
      </c>
      <c r="E159" s="79">
        <f>ROUND('Alimentazione CE Costi'!L24+'Alimentazione CE Costi'!L25,2)</f>
        <v>3675106.16</v>
      </c>
      <c r="F159" s="65"/>
      <c r="G159" s="228"/>
      <c r="H159" s="80"/>
      <c r="J159" s="76"/>
      <c r="L159" s="80"/>
    </row>
    <row r="160" spans="1:12" ht="18.75">
      <c r="A160" s="219"/>
      <c r="B160" s="83" t="s">
        <v>574</v>
      </c>
      <c r="C160" s="84" t="s">
        <v>1666</v>
      </c>
      <c r="D160" s="89">
        <f>ROUND('Alimentazione CE Costi'!K26+'Alimentazione CE Costi'!K27,2)</f>
        <v>3112.01</v>
      </c>
      <c r="E160" s="89">
        <f>ROUND('Alimentazione CE Costi'!L26+'Alimentazione CE Costi'!L27,2)</f>
        <v>2911.14</v>
      </c>
      <c r="F160" s="373"/>
      <c r="G160" s="228"/>
      <c r="H160" s="80"/>
      <c r="J160" s="76"/>
      <c r="L160" s="80"/>
    </row>
    <row r="161" spans="1:12" ht="18.75">
      <c r="A161" s="219"/>
      <c r="B161" s="83" t="s">
        <v>576</v>
      </c>
      <c r="C161" s="84" t="s">
        <v>1667</v>
      </c>
      <c r="D161" s="89">
        <f>ROUND('Alimentazione CE Costi'!K28+'Alimentazione CE Costi'!K29,2)</f>
        <v>333.49</v>
      </c>
      <c r="E161" s="89">
        <f>ROUND('Alimentazione CE Costi'!L28+'Alimentazione CE Costi'!L29,2)</f>
        <v>1324.82</v>
      </c>
      <c r="F161" s="373"/>
      <c r="G161" s="228"/>
      <c r="H161" s="80"/>
      <c r="J161" s="76"/>
      <c r="L161" s="80"/>
    </row>
    <row r="162" spans="1:12" ht="18.75">
      <c r="A162" s="219"/>
      <c r="B162" s="83" t="s">
        <v>578</v>
      </c>
      <c r="C162" s="84" t="s">
        <v>1668</v>
      </c>
      <c r="D162" s="89">
        <f>ROUND('Alimentazione CE Costi'!K30+'Alimentazione CE Costi'!K31,2)</f>
        <v>45057.06</v>
      </c>
      <c r="E162" s="89">
        <f>ROUND('Alimentazione CE Costi'!L30+'Alimentazione CE Costi'!L31,2)</f>
        <v>54813.86</v>
      </c>
      <c r="F162" s="373"/>
      <c r="G162" s="228"/>
      <c r="H162" s="80"/>
      <c r="J162" s="76"/>
      <c r="L162" s="80"/>
    </row>
    <row r="163" spans="1:12" ht="18.75">
      <c r="A163" s="219"/>
      <c r="B163" s="83" t="s">
        <v>580</v>
      </c>
      <c r="C163" s="84" t="s">
        <v>1669</v>
      </c>
      <c r="D163" s="89">
        <f>ROUND('Alimentazione CE Costi'!K32+'Alimentazione CE Costi'!K33,2)</f>
        <v>0</v>
      </c>
      <c r="E163" s="89">
        <f>ROUND('Alimentazione CE Costi'!L32+'Alimentazione CE Costi'!L33,2)</f>
        <v>0</v>
      </c>
      <c r="F163" s="373"/>
      <c r="G163" s="228"/>
      <c r="H163" s="80"/>
      <c r="J163" s="76"/>
      <c r="L163" s="80"/>
    </row>
    <row r="164" spans="1:12" ht="18.75">
      <c r="A164" s="219"/>
      <c r="B164" s="83" t="s">
        <v>582</v>
      </c>
      <c r="C164" s="84" t="s">
        <v>1670</v>
      </c>
      <c r="D164" s="89">
        <f>ROUND('Alimentazione CE Costi'!K34+'Alimentazione CE Costi'!K35,2)</f>
        <v>423379.46</v>
      </c>
      <c r="E164" s="89">
        <f>ROUND('Alimentazione CE Costi'!L34+'Alimentazione CE Costi'!L35,2)</f>
        <v>312028.78000000003</v>
      </c>
      <c r="F164" s="373"/>
      <c r="G164" s="228"/>
      <c r="H164" s="80"/>
      <c r="J164" s="76"/>
      <c r="L164" s="80"/>
    </row>
    <row r="165" spans="1:12" ht="18.75">
      <c r="A165" s="219" t="s">
        <v>1522</v>
      </c>
      <c r="B165" s="117" t="s">
        <v>584</v>
      </c>
      <c r="C165" s="118" t="s">
        <v>1671</v>
      </c>
      <c r="D165" s="119">
        <f t="shared" ref="D165:E165" si="34">SUM(D166:D173)</f>
        <v>4783177.6800000006</v>
      </c>
      <c r="E165" s="119">
        <f t="shared" si="34"/>
        <v>4953718.0300000012</v>
      </c>
      <c r="F165" s="373" t="s">
        <v>2110</v>
      </c>
      <c r="G165" s="228"/>
      <c r="J165" s="76"/>
      <c r="L165" s="80"/>
    </row>
    <row r="166" spans="1:12" ht="18.75">
      <c r="A166" s="219" t="s">
        <v>1522</v>
      </c>
      <c r="B166" s="83" t="s">
        <v>585</v>
      </c>
      <c r="C166" s="84" t="s">
        <v>1672</v>
      </c>
      <c r="D166" s="89">
        <f>ROUND('Alimentazione CE Costi'!K37+'Alimentazione CE Costi'!K38+'Alimentazione CE Costi'!K39,2)</f>
        <v>3021262.15</v>
      </c>
      <c r="E166" s="89">
        <f>ROUND('Alimentazione CE Costi'!L37+'Alimentazione CE Costi'!L38+'Alimentazione CE Costi'!L39,2)</f>
        <v>3185870.49</v>
      </c>
      <c r="F166" s="373"/>
      <c r="G166" s="228"/>
      <c r="J166" s="76"/>
      <c r="L166" s="80"/>
    </row>
    <row r="167" spans="1:12" ht="18.75">
      <c r="A167" s="224"/>
      <c r="B167" s="90"/>
      <c r="C167" s="91"/>
      <c r="D167" s="92"/>
      <c r="E167" s="92"/>
      <c r="F167" s="373"/>
      <c r="G167" s="228"/>
      <c r="J167" s="76"/>
      <c r="L167" s="80"/>
    </row>
    <row r="168" spans="1:12" ht="18.75">
      <c r="A168" s="219" t="s">
        <v>1522</v>
      </c>
      <c r="B168" s="83" t="s">
        <v>586</v>
      </c>
      <c r="C168" s="84" t="s">
        <v>1673</v>
      </c>
      <c r="D168" s="89">
        <f>ROUND('Alimentazione CE Costi'!K40+'Alimentazione CE Costi'!K41+'Alimentazione CE Costi'!K42,2)</f>
        <v>1673288.6</v>
      </c>
      <c r="E168" s="89">
        <f>ROUND('Alimentazione CE Costi'!L40+'Alimentazione CE Costi'!L41+'Alimentazione CE Costi'!L42,2)</f>
        <v>1618501.32</v>
      </c>
      <c r="F168" s="373"/>
      <c r="G168" s="228"/>
      <c r="J168" s="76"/>
      <c r="L168" s="80"/>
    </row>
    <row r="169" spans="1:12" ht="18.75">
      <c r="A169" s="219" t="s">
        <v>1522</v>
      </c>
      <c r="B169" s="83" t="s">
        <v>587</v>
      </c>
      <c r="C169" s="84" t="s">
        <v>1674</v>
      </c>
      <c r="D169" s="89">
        <f>ROUND('Alimentazione CE Costi'!K43,2)</f>
        <v>14767.4</v>
      </c>
      <c r="E169" s="89">
        <f>ROUND('Alimentazione CE Costi'!L43,2)</f>
        <v>16005.67</v>
      </c>
      <c r="F169" s="373"/>
      <c r="G169" s="228"/>
      <c r="J169" s="76"/>
      <c r="L169" s="80"/>
    </row>
    <row r="170" spans="1:12" ht="18.75">
      <c r="A170" s="219" t="s">
        <v>1522</v>
      </c>
      <c r="B170" s="83" t="s">
        <v>588</v>
      </c>
      <c r="C170" s="84" t="s">
        <v>1675</v>
      </c>
      <c r="D170" s="89">
        <f>ROUND('Alimentazione CE Costi'!K44,2)</f>
        <v>15634.62</v>
      </c>
      <c r="E170" s="89">
        <f>ROUND('Alimentazione CE Costi'!L44,2)</f>
        <v>12542.98</v>
      </c>
      <c r="F170" s="373"/>
      <c r="G170" s="228"/>
      <c r="J170" s="76"/>
      <c r="L170" s="80"/>
    </row>
    <row r="171" spans="1:12" ht="18.75">
      <c r="A171" s="219" t="s">
        <v>1522</v>
      </c>
      <c r="B171" s="83" t="s">
        <v>589</v>
      </c>
      <c r="C171" s="84" t="s">
        <v>1676</v>
      </c>
      <c r="D171" s="89">
        <f>ROUND('Alimentazione CE Costi'!K45,2)</f>
        <v>2373</v>
      </c>
      <c r="E171" s="89">
        <f>ROUND('Alimentazione CE Costi'!L45,2)</f>
        <v>0</v>
      </c>
      <c r="F171" s="373"/>
      <c r="G171" s="228"/>
      <c r="J171" s="76"/>
      <c r="L171" s="80"/>
    </row>
    <row r="172" spans="1:12" ht="18.75">
      <c r="A172" s="219" t="s">
        <v>1522</v>
      </c>
      <c r="B172" s="83" t="s">
        <v>590</v>
      </c>
      <c r="C172" s="84" t="s">
        <v>1677</v>
      </c>
      <c r="D172" s="89">
        <f>ROUND('Alimentazione CE Costi'!K46,2)</f>
        <v>0</v>
      </c>
      <c r="E172" s="89">
        <f>ROUND('Alimentazione CE Costi'!L46,2)</f>
        <v>0</v>
      </c>
      <c r="F172" s="373"/>
      <c r="G172" s="228"/>
      <c r="J172" s="76"/>
      <c r="L172" s="80"/>
    </row>
    <row r="173" spans="1:12" ht="18.75">
      <c r="A173" s="219" t="s">
        <v>1522</v>
      </c>
      <c r="B173" s="83" t="s">
        <v>592</v>
      </c>
      <c r="C173" s="84" t="s">
        <v>1678</v>
      </c>
      <c r="D173" s="89">
        <f>ROUND('Alimentazione CE Costi'!K47,2)</f>
        <v>55851.91</v>
      </c>
      <c r="E173" s="89">
        <f>ROUND('Alimentazione CE Costi'!L47,2)</f>
        <v>120797.57</v>
      </c>
      <c r="F173" s="373"/>
      <c r="G173" s="228"/>
      <c r="J173" s="76"/>
      <c r="L173" s="80"/>
    </row>
    <row r="174" spans="1:12" ht="18.75">
      <c r="A174" s="219"/>
      <c r="B174" s="106" t="s">
        <v>594</v>
      </c>
      <c r="C174" s="107" t="s">
        <v>1679</v>
      </c>
      <c r="D174" s="105">
        <f t="shared" ref="D174:E174" si="35">SUM(D175:D181)</f>
        <v>486713.13</v>
      </c>
      <c r="E174" s="105">
        <f t="shared" si="35"/>
        <v>606552.93999999994</v>
      </c>
      <c r="F174" s="65" t="s">
        <v>2110</v>
      </c>
      <c r="G174" s="228"/>
      <c r="H174" s="80"/>
      <c r="J174" s="76"/>
      <c r="L174" s="80"/>
    </row>
    <row r="175" spans="1:12" ht="18.75">
      <c r="A175" s="219"/>
      <c r="B175" s="83" t="s">
        <v>596</v>
      </c>
      <c r="C175" s="84" t="s">
        <v>1680</v>
      </c>
      <c r="D175" s="79">
        <f>ROUND('Alimentazione CE Costi'!K49+'Alimentazione CE Costi'!K50,2)</f>
        <v>6668.39</v>
      </c>
      <c r="E175" s="79">
        <f>ROUND('Alimentazione CE Costi'!L49+'Alimentazione CE Costi'!L50,2)</f>
        <v>4772.3500000000004</v>
      </c>
      <c r="F175" s="65"/>
      <c r="G175" s="228"/>
      <c r="H175" s="80"/>
      <c r="J175" s="76"/>
      <c r="L175" s="80"/>
    </row>
    <row r="176" spans="1:12" ht="18.75">
      <c r="A176" s="219"/>
      <c r="B176" s="83" t="s">
        <v>598</v>
      </c>
      <c r="C176" s="84" t="s">
        <v>1681</v>
      </c>
      <c r="D176" s="79">
        <f>ROUND('Alimentazione CE Costi'!K51+'Alimentazione CE Costi'!K52,2)</f>
        <v>31101.99</v>
      </c>
      <c r="E176" s="79">
        <f>ROUND('Alimentazione CE Costi'!L51+'Alimentazione CE Costi'!L52,2)</f>
        <v>47072.65</v>
      </c>
      <c r="F176" s="65"/>
      <c r="G176" s="228"/>
      <c r="H176" s="80"/>
      <c r="J176" s="76"/>
      <c r="L176" s="80"/>
    </row>
    <row r="177" spans="1:12" ht="18.75">
      <c r="A177" s="219"/>
      <c r="B177" s="83" t="s">
        <v>600</v>
      </c>
      <c r="C177" s="84" t="s">
        <v>1682</v>
      </c>
      <c r="D177" s="79">
        <f>ROUND('Alimentazione CE Costi'!K53+'Alimentazione CE Costi'!K54,2)</f>
        <v>9072.25</v>
      </c>
      <c r="E177" s="79">
        <f>ROUND('Alimentazione CE Costi'!L53+'Alimentazione CE Costi'!L54,2)</f>
        <v>6140.87</v>
      </c>
      <c r="F177" s="65"/>
      <c r="G177" s="228"/>
      <c r="H177" s="80"/>
      <c r="J177" s="76"/>
      <c r="L177" s="80"/>
    </row>
    <row r="178" spans="1:12" ht="18.75">
      <c r="A178" s="219"/>
      <c r="B178" s="83" t="s">
        <v>602</v>
      </c>
      <c r="C178" s="84" t="s">
        <v>1683</v>
      </c>
      <c r="D178" s="79">
        <f>ROUND('Alimentazione CE Costi'!K56+'Alimentazione CE Costi'!K57+'Alimentazione CE Costi'!K58+'Alimentazione CE Costi'!K59,2)</f>
        <v>159725.03</v>
      </c>
      <c r="E178" s="79">
        <f>ROUND('Alimentazione CE Costi'!L56+'Alimentazione CE Costi'!L57+'Alimentazione CE Costi'!L58+'Alimentazione CE Costi'!L59,2)</f>
        <v>139478.76</v>
      </c>
      <c r="F178" s="65"/>
      <c r="G178" s="228"/>
      <c r="H178" s="80"/>
      <c r="J178" s="76"/>
      <c r="L178" s="80"/>
    </row>
    <row r="179" spans="1:12" ht="18.75">
      <c r="A179" s="219"/>
      <c r="B179" s="83" t="s">
        <v>607</v>
      </c>
      <c r="C179" s="84" t="s">
        <v>1684</v>
      </c>
      <c r="D179" s="79">
        <f>ROUND('Alimentazione CE Costi'!K61+'Alimentazione CE Costi'!K62+'Alimentazione CE Costi'!K63,2)</f>
        <v>21231.02</v>
      </c>
      <c r="E179" s="79">
        <f>ROUND('Alimentazione CE Costi'!L61+'Alimentazione CE Costi'!L62+'Alimentazione CE Costi'!L63,2)</f>
        <v>20072.66</v>
      </c>
      <c r="F179" s="65"/>
      <c r="G179" s="228"/>
      <c r="H179" s="80"/>
      <c r="J179" s="76"/>
      <c r="L179" s="80"/>
    </row>
    <row r="180" spans="1:12" ht="18.75">
      <c r="A180" s="219"/>
      <c r="B180" s="83" t="s">
        <v>611</v>
      </c>
      <c r="C180" s="84" t="s">
        <v>1685</v>
      </c>
      <c r="D180" s="79">
        <f>+ROUND('Alimentazione CE Costi'!K64+'Alimentazione CE Costi'!K65,2)</f>
        <v>30704.91</v>
      </c>
      <c r="E180" s="79">
        <f>+ROUND('Alimentazione CE Costi'!L64+'Alimentazione CE Costi'!L65,2)</f>
        <v>52951.94</v>
      </c>
      <c r="F180" s="65"/>
      <c r="G180" s="228"/>
      <c r="H180" s="80"/>
      <c r="J180" s="76"/>
      <c r="L180" s="80"/>
    </row>
    <row r="181" spans="1:12" ht="18.75">
      <c r="A181" s="219" t="s">
        <v>1522</v>
      </c>
      <c r="B181" s="83" t="s">
        <v>613</v>
      </c>
      <c r="C181" s="84" t="s">
        <v>1686</v>
      </c>
      <c r="D181" s="79">
        <f>ROUND(SUM('Alimentazione CE Costi'!K67:K72),2)</f>
        <v>228209.54</v>
      </c>
      <c r="E181" s="79">
        <f>ROUND(SUM('Alimentazione CE Costi'!L67:L72),2)</f>
        <v>336063.71</v>
      </c>
      <c r="F181" s="65"/>
      <c r="G181" s="228"/>
      <c r="H181" s="80"/>
      <c r="J181" s="76"/>
      <c r="L181" s="80"/>
    </row>
    <row r="182" spans="1:12" ht="18.75">
      <c r="A182" s="219"/>
      <c r="B182" s="111" t="s">
        <v>616</v>
      </c>
      <c r="C182" s="112" t="s">
        <v>1687</v>
      </c>
      <c r="D182" s="113">
        <f t="shared" ref="D182:E182" si="36">+D183+D313</f>
        <v>19230877.990000002</v>
      </c>
      <c r="E182" s="113">
        <f t="shared" si="36"/>
        <v>18891013.950000003</v>
      </c>
      <c r="F182" s="65" t="s">
        <v>2110</v>
      </c>
      <c r="G182" s="228"/>
      <c r="H182" s="80"/>
      <c r="J182" s="76"/>
      <c r="L182" s="80"/>
    </row>
    <row r="183" spans="1:12" ht="18.75">
      <c r="A183" s="219"/>
      <c r="B183" s="106" t="s">
        <v>618</v>
      </c>
      <c r="C183" s="107" t="s">
        <v>1688</v>
      </c>
      <c r="D183" s="105">
        <f t="shared" ref="D183:E183" si="37">+D184+D192+D196+D215+D221+D226+D231+D241+D247+D254+D260+D265+D274+D282+D290+D304+D312</f>
        <v>8233346.5499999998</v>
      </c>
      <c r="E183" s="105">
        <f t="shared" si="37"/>
        <v>6446984.5800000001</v>
      </c>
      <c r="F183" s="65" t="s">
        <v>2110</v>
      </c>
      <c r="G183" s="228"/>
      <c r="H183" s="80"/>
      <c r="J183" s="76"/>
      <c r="L183" s="80"/>
    </row>
    <row r="184" spans="1:12" ht="18.75">
      <c r="A184" s="219"/>
      <c r="B184" s="132" t="s">
        <v>620</v>
      </c>
      <c r="C184" s="133" t="s">
        <v>1689</v>
      </c>
      <c r="D184" s="119">
        <f t="shared" ref="D184:E184" si="38">+D185+D190+D191</f>
        <v>0</v>
      </c>
      <c r="E184" s="119">
        <f t="shared" si="38"/>
        <v>0</v>
      </c>
      <c r="F184" s="65" t="s">
        <v>2110</v>
      </c>
      <c r="G184" s="228"/>
      <c r="H184" s="80"/>
      <c r="J184" s="76"/>
      <c r="L184" s="80"/>
    </row>
    <row r="185" spans="1:12" ht="18.75">
      <c r="A185" s="219"/>
      <c r="B185" s="123" t="s">
        <v>622</v>
      </c>
      <c r="C185" s="124" t="s">
        <v>1690</v>
      </c>
      <c r="D185" s="122">
        <f t="shared" ref="D185:E185" si="39">SUM(D186:D189)</f>
        <v>0</v>
      </c>
      <c r="E185" s="122">
        <f t="shared" si="39"/>
        <v>0</v>
      </c>
      <c r="F185" s="65" t="s">
        <v>2110</v>
      </c>
      <c r="G185" s="228"/>
      <c r="H185" s="80"/>
      <c r="J185" s="76"/>
      <c r="L185" s="80"/>
    </row>
    <row r="186" spans="1:12" ht="18.75">
      <c r="A186" s="219"/>
      <c r="B186" s="83" t="s">
        <v>624</v>
      </c>
      <c r="C186" s="84" t="s">
        <v>1691</v>
      </c>
      <c r="D186" s="79">
        <f>+ROUND(SUM('Alimentazione CE Costi'!K78:K88),2)</f>
        <v>0</v>
      </c>
      <c r="E186" s="79">
        <f>+ROUND(SUM('Alimentazione CE Costi'!L78:L88),2)</f>
        <v>0</v>
      </c>
      <c r="F186" s="65"/>
      <c r="G186" s="228"/>
      <c r="H186" s="80"/>
      <c r="J186" s="76"/>
      <c r="L186" s="80"/>
    </row>
    <row r="187" spans="1:12" ht="18.75">
      <c r="A187" s="219"/>
      <c r="B187" s="83" t="s">
        <v>637</v>
      </c>
      <c r="C187" s="84" t="s">
        <v>1692</v>
      </c>
      <c r="D187" s="79">
        <f>+ROUND(SUM('Alimentazione CE Costi'!K90:K100),2)</f>
        <v>0</v>
      </c>
      <c r="E187" s="79">
        <f>+ROUND(SUM('Alimentazione CE Costi'!L90:L100),2)</f>
        <v>0</v>
      </c>
      <c r="F187" s="65"/>
      <c r="G187" s="228"/>
      <c r="H187" s="80"/>
      <c r="J187" s="76"/>
      <c r="L187" s="80"/>
    </row>
    <row r="188" spans="1:12" ht="18.75">
      <c r="A188" s="219"/>
      <c r="B188" s="83" t="s">
        <v>639</v>
      </c>
      <c r="C188" s="84" t="s">
        <v>1693</v>
      </c>
      <c r="D188" s="79">
        <f>+ROUND(SUM('Alimentazione CE Costi'!K102:K115),2)</f>
        <v>0</v>
      </c>
      <c r="E188" s="79">
        <f>+ROUND(SUM('Alimentazione CE Costi'!L102:L115),2)</f>
        <v>0</v>
      </c>
      <c r="F188" s="65"/>
      <c r="G188" s="228"/>
      <c r="H188" s="80"/>
      <c r="J188" s="76"/>
      <c r="L188" s="80"/>
    </row>
    <row r="189" spans="1:12" ht="18.75">
      <c r="A189" s="219"/>
      <c r="B189" s="83" t="s">
        <v>655</v>
      </c>
      <c r="C189" s="84" t="s">
        <v>1694</v>
      </c>
      <c r="D189" s="79">
        <f>+ROUND(SUM('Alimentazione CE Costi'!K117:K124),2)</f>
        <v>0</v>
      </c>
      <c r="E189" s="79">
        <f>+ROUND(SUM('Alimentazione CE Costi'!L117:L124),2)</f>
        <v>0</v>
      </c>
      <c r="F189" s="65"/>
      <c r="G189" s="228"/>
      <c r="H189" s="80"/>
      <c r="J189" s="76"/>
      <c r="L189" s="80"/>
    </row>
    <row r="190" spans="1:12" ht="18.75">
      <c r="A190" s="219" t="s">
        <v>1522</v>
      </c>
      <c r="B190" s="83" t="s">
        <v>659</v>
      </c>
      <c r="C190" s="84" t="s">
        <v>1695</v>
      </c>
      <c r="D190" s="79">
        <f>+'Alimentazione CE Costi'!K125</f>
        <v>0</v>
      </c>
      <c r="E190" s="79">
        <f>+'Alimentazione CE Costi'!L125</f>
        <v>0</v>
      </c>
      <c r="F190" s="65"/>
      <c r="G190" s="228"/>
      <c r="H190" s="80"/>
      <c r="J190" s="76"/>
      <c r="L190" s="80"/>
    </row>
    <row r="191" spans="1:12" ht="18.75">
      <c r="A191" s="219" t="s">
        <v>1567</v>
      </c>
      <c r="B191" s="83" t="s">
        <v>661</v>
      </c>
      <c r="C191" s="84" t="s">
        <v>1696</v>
      </c>
      <c r="D191" s="79">
        <f>+'Alimentazione CE Costi'!K126</f>
        <v>0</v>
      </c>
      <c r="E191" s="79">
        <f>+'Alimentazione CE Costi'!L126</f>
        <v>0</v>
      </c>
      <c r="F191" s="65"/>
      <c r="G191" s="228"/>
      <c r="H191" s="80"/>
      <c r="J191" s="76"/>
      <c r="L191" s="80"/>
    </row>
    <row r="192" spans="1:12" ht="18.75">
      <c r="A192" s="219"/>
      <c r="B192" s="132" t="s">
        <v>663</v>
      </c>
      <c r="C192" s="133" t="s">
        <v>1697</v>
      </c>
      <c r="D192" s="119">
        <f t="shared" ref="D192:E192" si="40">+D193+D194+D195</f>
        <v>0</v>
      </c>
      <c r="E192" s="119">
        <f t="shared" si="40"/>
        <v>0</v>
      </c>
      <c r="F192" s="65" t="s">
        <v>2110</v>
      </c>
      <c r="G192" s="228"/>
      <c r="H192" s="80"/>
      <c r="J192" s="76"/>
      <c r="L192" s="80"/>
    </row>
    <row r="193" spans="1:12" ht="18.75">
      <c r="A193" s="219"/>
      <c r="B193" s="83" t="s">
        <v>664</v>
      </c>
      <c r="C193" s="84" t="s">
        <v>1698</v>
      </c>
      <c r="D193" s="79">
        <f>+'Alimentazione CE Costi'!K129+'Alimentazione CE Costi'!K130</f>
        <v>0</v>
      </c>
      <c r="E193" s="79">
        <f>+'Alimentazione CE Costi'!L129+'Alimentazione CE Costi'!L130</f>
        <v>0</v>
      </c>
      <c r="F193" s="65"/>
      <c r="G193" s="228"/>
      <c r="H193" s="80"/>
      <c r="J193" s="76"/>
      <c r="L193" s="80"/>
    </row>
    <row r="194" spans="1:12" ht="18.75">
      <c r="A194" s="219" t="s">
        <v>1522</v>
      </c>
      <c r="B194" s="83" t="s">
        <v>668</v>
      </c>
      <c r="C194" s="84" t="s">
        <v>1699</v>
      </c>
      <c r="D194" s="79">
        <f>+'Alimentazione CE Costi'!K131</f>
        <v>0</v>
      </c>
      <c r="E194" s="79">
        <f>+'Alimentazione CE Costi'!L131</f>
        <v>0</v>
      </c>
      <c r="F194" s="65"/>
      <c r="G194" s="228"/>
      <c r="H194" s="80"/>
      <c r="J194" s="76"/>
      <c r="L194" s="80"/>
    </row>
    <row r="195" spans="1:12" ht="18.75">
      <c r="A195" s="221" t="s">
        <v>1567</v>
      </c>
      <c r="B195" s="83" t="s">
        <v>670</v>
      </c>
      <c r="C195" s="84" t="s">
        <v>1700</v>
      </c>
      <c r="D195" s="79">
        <f>+'Alimentazione CE Costi'!K132</f>
        <v>0</v>
      </c>
      <c r="E195" s="79">
        <f>+'Alimentazione CE Costi'!L132</f>
        <v>0</v>
      </c>
      <c r="F195" s="373"/>
      <c r="G195" s="228"/>
      <c r="H195" s="80"/>
      <c r="J195" s="76"/>
      <c r="L195" s="80"/>
    </row>
    <row r="196" spans="1:12" ht="18.75">
      <c r="A196" s="221"/>
      <c r="B196" s="132" t="s">
        <v>672</v>
      </c>
      <c r="C196" s="133" t="s">
        <v>1701</v>
      </c>
      <c r="D196" s="119">
        <f t="shared" ref="D196:E196" si="41">+D197+D198+D199+D200+D201+D202+D203+D204+D213+D214</f>
        <v>377142.89</v>
      </c>
      <c r="E196" s="119">
        <f t="shared" si="41"/>
        <v>413245.85</v>
      </c>
      <c r="F196" s="65" t="s">
        <v>2110</v>
      </c>
      <c r="G196" s="228"/>
      <c r="H196" s="80"/>
      <c r="J196" s="76"/>
      <c r="L196" s="80"/>
    </row>
    <row r="197" spans="1:12" ht="18.75">
      <c r="A197" s="221" t="s">
        <v>1522</v>
      </c>
      <c r="B197" s="83" t="s">
        <v>674</v>
      </c>
      <c r="C197" s="84" t="s">
        <v>1702</v>
      </c>
      <c r="D197" s="79">
        <f>+'Alimentazione CE Costi'!K135+'Alimentazione CE Costi'!K136</f>
        <v>377142.89</v>
      </c>
      <c r="E197" s="79">
        <f>+'Alimentazione CE Costi'!L135+'Alimentazione CE Costi'!L136</f>
        <v>413245.85</v>
      </c>
      <c r="F197" s="373"/>
      <c r="G197" s="228"/>
      <c r="H197" s="80"/>
      <c r="J197" s="76"/>
      <c r="L197" s="80"/>
    </row>
    <row r="198" spans="1:12" ht="25.5">
      <c r="A198" s="221" t="s">
        <v>1522</v>
      </c>
      <c r="B198" s="83" t="s">
        <v>678</v>
      </c>
      <c r="C198" s="84" t="s">
        <v>1703</v>
      </c>
      <c r="D198" s="79">
        <f>+'Alimentazione CE Costi'!K137</f>
        <v>0</v>
      </c>
      <c r="E198" s="79">
        <f>+'Alimentazione CE Costi'!L137</f>
        <v>0</v>
      </c>
      <c r="F198" s="373"/>
      <c r="G198" s="228"/>
      <c r="H198" s="80"/>
      <c r="J198" s="76"/>
      <c r="L198" s="80"/>
    </row>
    <row r="199" spans="1:12" ht="18.75">
      <c r="A199" s="221"/>
      <c r="B199" s="83" t="s">
        <v>680</v>
      </c>
      <c r="C199" s="84" t="s">
        <v>1704</v>
      </c>
      <c r="D199" s="79">
        <f>+'Alimentazione CE Costi'!K138</f>
        <v>0</v>
      </c>
      <c r="E199" s="79">
        <f>+'Alimentazione CE Costi'!L138</f>
        <v>0</v>
      </c>
      <c r="F199" s="373"/>
      <c r="G199" s="228"/>
      <c r="H199" s="80"/>
      <c r="J199" s="76"/>
      <c r="L199" s="80"/>
    </row>
    <row r="200" spans="1:12" ht="25.5">
      <c r="A200" s="221"/>
      <c r="B200" s="83" t="s">
        <v>682</v>
      </c>
      <c r="C200" s="84" t="s">
        <v>1705</v>
      </c>
      <c r="D200" s="79">
        <f>+'Alimentazione CE Costi'!K139</f>
        <v>0</v>
      </c>
      <c r="E200" s="79">
        <f>+'Alimentazione CE Costi'!L139</f>
        <v>0</v>
      </c>
      <c r="F200" s="373"/>
      <c r="G200" s="228"/>
      <c r="H200" s="80"/>
      <c r="J200" s="76"/>
      <c r="L200" s="80"/>
    </row>
    <row r="201" spans="1:12" ht="18.75">
      <c r="A201" s="221" t="s">
        <v>1567</v>
      </c>
      <c r="B201" s="83" t="s">
        <v>683</v>
      </c>
      <c r="C201" s="84" t="s">
        <v>1706</v>
      </c>
      <c r="D201" s="79">
        <f>+'Alimentazione CE Costi'!K141</f>
        <v>0</v>
      </c>
      <c r="E201" s="79">
        <f>+'Alimentazione CE Costi'!L141</f>
        <v>0</v>
      </c>
      <c r="F201" s="373"/>
      <c r="G201" s="228"/>
      <c r="H201" s="80"/>
      <c r="J201" s="76"/>
      <c r="L201" s="80"/>
    </row>
    <row r="202" spans="1:12" ht="18.75">
      <c r="A202" s="221" t="s">
        <v>1567</v>
      </c>
      <c r="B202" s="83" t="s">
        <v>687</v>
      </c>
      <c r="C202" s="84" t="s">
        <v>1707</v>
      </c>
      <c r="D202" s="79">
        <f>+'Alimentazione CE Costi'!K142</f>
        <v>0</v>
      </c>
      <c r="E202" s="79">
        <f>+'Alimentazione CE Costi'!L142</f>
        <v>0</v>
      </c>
      <c r="F202" s="373"/>
      <c r="G202" s="228"/>
      <c r="H202" s="80"/>
      <c r="J202" s="76"/>
      <c r="L202" s="80"/>
    </row>
    <row r="203" spans="1:12" ht="18.75">
      <c r="A203" s="221"/>
      <c r="B203" s="83" t="s">
        <v>689</v>
      </c>
      <c r="C203" s="84" t="s">
        <v>1708</v>
      </c>
      <c r="D203" s="79">
        <f>+ROUND(SUM('Alimentazione CE Costi'!K144:K150),2)</f>
        <v>0</v>
      </c>
      <c r="E203" s="79">
        <f>+ROUND(SUM('Alimentazione CE Costi'!L144:L150),2)</f>
        <v>0</v>
      </c>
      <c r="F203" s="373"/>
      <c r="G203" s="228"/>
      <c r="H203" s="80"/>
      <c r="J203" s="76"/>
      <c r="L203" s="80"/>
    </row>
    <row r="204" spans="1:12" ht="18.75">
      <c r="A204" s="221"/>
      <c r="B204" s="123" t="s">
        <v>693</v>
      </c>
      <c r="C204" s="124" t="s">
        <v>1709</v>
      </c>
      <c r="D204" s="122">
        <f t="shared" ref="D204:E204" si="42">SUM(D205:D212)</f>
        <v>0</v>
      </c>
      <c r="E204" s="122">
        <f t="shared" si="42"/>
        <v>0</v>
      </c>
      <c r="F204" s="65" t="s">
        <v>2110</v>
      </c>
      <c r="G204" s="228"/>
      <c r="H204" s="80"/>
      <c r="J204" s="76"/>
      <c r="L204" s="80"/>
    </row>
    <row r="205" spans="1:12" ht="18.75">
      <c r="A205" s="221"/>
      <c r="B205" s="85" t="s">
        <v>695</v>
      </c>
      <c r="C205" s="86" t="s">
        <v>1710</v>
      </c>
      <c r="D205" s="79">
        <f>+'Alimentazione CE Costi'!K152</f>
        <v>0</v>
      </c>
      <c r="E205" s="79">
        <f>+'Alimentazione CE Costi'!L152</f>
        <v>0</v>
      </c>
      <c r="F205" s="373"/>
      <c r="G205" s="228"/>
      <c r="H205" s="80"/>
      <c r="J205" s="76"/>
      <c r="L205" s="80"/>
    </row>
    <row r="206" spans="1:12" ht="25.5">
      <c r="A206" s="221"/>
      <c r="B206" s="85" t="s">
        <v>697</v>
      </c>
      <c r="C206" s="86" t="s">
        <v>1711</v>
      </c>
      <c r="D206" s="79">
        <f>+'Alimentazione CE Costi'!K153</f>
        <v>0</v>
      </c>
      <c r="E206" s="79">
        <f>+'Alimentazione CE Costi'!L153</f>
        <v>0</v>
      </c>
      <c r="F206" s="373"/>
      <c r="G206" s="228"/>
      <c r="H206" s="80"/>
      <c r="J206" s="76"/>
      <c r="L206" s="80"/>
    </row>
    <row r="207" spans="1:12" ht="18.75">
      <c r="A207" s="221"/>
      <c r="B207" s="85" t="s">
        <v>699</v>
      </c>
      <c r="C207" s="86" t="s">
        <v>1712</v>
      </c>
      <c r="D207" s="79">
        <f>+'Alimentazione CE Costi'!K154</f>
        <v>0</v>
      </c>
      <c r="E207" s="79">
        <f>+'Alimentazione CE Costi'!L154</f>
        <v>0</v>
      </c>
      <c r="F207" s="373"/>
      <c r="G207" s="228"/>
      <c r="H207" s="80"/>
      <c r="J207" s="76"/>
      <c r="L207" s="80"/>
    </row>
    <row r="208" spans="1:12" ht="25.5">
      <c r="A208" s="221"/>
      <c r="B208" s="85" t="s">
        <v>701</v>
      </c>
      <c r="C208" s="86" t="s">
        <v>1713</v>
      </c>
      <c r="D208" s="79">
        <f>+'Alimentazione CE Costi'!K155</f>
        <v>0</v>
      </c>
      <c r="E208" s="79">
        <f>+'Alimentazione CE Costi'!L155</f>
        <v>0</v>
      </c>
      <c r="F208" s="373"/>
      <c r="G208" s="228"/>
      <c r="H208" s="80"/>
      <c r="J208" s="76"/>
      <c r="L208" s="80"/>
    </row>
    <row r="209" spans="1:12" ht="18.75">
      <c r="A209" s="221"/>
      <c r="B209" s="85" t="s">
        <v>703</v>
      </c>
      <c r="C209" s="86" t="s">
        <v>1714</v>
      </c>
      <c r="D209" s="79">
        <f>+'Alimentazione CE Costi'!K156</f>
        <v>0</v>
      </c>
      <c r="E209" s="79">
        <f>+'Alimentazione CE Costi'!L156</f>
        <v>0</v>
      </c>
      <c r="F209" s="373"/>
      <c r="G209" s="228"/>
      <c r="H209" s="80"/>
      <c r="J209" s="76"/>
      <c r="L209" s="80"/>
    </row>
    <row r="210" spans="1:12" ht="25.5">
      <c r="A210" s="221"/>
      <c r="B210" s="85" t="s">
        <v>705</v>
      </c>
      <c r="C210" s="86" t="s">
        <v>1715</v>
      </c>
      <c r="D210" s="79">
        <f>+'Alimentazione CE Costi'!K157</f>
        <v>0</v>
      </c>
      <c r="E210" s="79">
        <f>+'Alimentazione CE Costi'!L157</f>
        <v>0</v>
      </c>
      <c r="F210" s="373"/>
      <c r="G210" s="228"/>
      <c r="H210" s="80"/>
      <c r="J210" s="76"/>
      <c r="L210" s="80"/>
    </row>
    <row r="211" spans="1:12" ht="18.75">
      <c r="A211" s="221"/>
      <c r="B211" s="85" t="s">
        <v>707</v>
      </c>
      <c r="C211" s="86" t="s">
        <v>1716</v>
      </c>
      <c r="D211" s="79">
        <f>+'Alimentazione CE Costi'!K158</f>
        <v>0</v>
      </c>
      <c r="E211" s="79">
        <f>+'Alimentazione CE Costi'!L158</f>
        <v>0</v>
      </c>
      <c r="F211" s="373"/>
      <c r="G211" s="228"/>
      <c r="H211" s="80"/>
      <c r="J211" s="76"/>
      <c r="L211" s="80"/>
    </row>
    <row r="212" spans="1:12" ht="18.75">
      <c r="A212" s="221"/>
      <c r="B212" s="85" t="s">
        <v>709</v>
      </c>
      <c r="C212" s="86" t="s">
        <v>1717</v>
      </c>
      <c r="D212" s="79">
        <f>+'Alimentazione CE Costi'!K159</f>
        <v>0</v>
      </c>
      <c r="E212" s="79">
        <f>+'Alimentazione CE Costi'!L159</f>
        <v>0</v>
      </c>
      <c r="F212" s="373"/>
      <c r="G212" s="228"/>
      <c r="H212" s="80"/>
      <c r="J212" s="76"/>
      <c r="L212" s="80"/>
    </row>
    <row r="213" spans="1:12" ht="18.75">
      <c r="A213" s="221"/>
      <c r="B213" s="83" t="s">
        <v>711</v>
      </c>
      <c r="C213" s="84" t="s">
        <v>1718</v>
      </c>
      <c r="D213" s="79">
        <f>+'Alimentazione CE Costi'!K160</f>
        <v>0</v>
      </c>
      <c r="E213" s="79">
        <f>+'Alimentazione CE Costi'!L160</f>
        <v>0</v>
      </c>
      <c r="F213" s="373"/>
      <c r="G213" s="228"/>
      <c r="H213" s="80"/>
      <c r="J213" s="76"/>
      <c r="L213" s="80"/>
    </row>
    <row r="214" spans="1:12" ht="25.5">
      <c r="A214" s="221"/>
      <c r="B214" s="85" t="s">
        <v>713</v>
      </c>
      <c r="C214" s="86" t="s">
        <v>1719</v>
      </c>
      <c r="D214" s="79">
        <f>+'Alimentazione CE Costi'!K161</f>
        <v>0</v>
      </c>
      <c r="E214" s="79">
        <f>+'Alimentazione CE Costi'!L161</f>
        <v>0</v>
      </c>
      <c r="F214" s="373"/>
      <c r="G214" s="228"/>
      <c r="H214" s="80"/>
      <c r="J214" s="76"/>
      <c r="L214" s="80"/>
    </row>
    <row r="215" spans="1:12" ht="18.75">
      <c r="A215" s="219"/>
      <c r="B215" s="132" t="s">
        <v>715</v>
      </c>
      <c r="C215" s="133" t="s">
        <v>1720</v>
      </c>
      <c r="D215" s="119">
        <f t="shared" ref="D215:E215" si="43">SUM(D216:D220)</f>
        <v>0</v>
      </c>
      <c r="E215" s="119">
        <f t="shared" si="43"/>
        <v>0</v>
      </c>
      <c r="F215" s="65" t="s">
        <v>2110</v>
      </c>
      <c r="G215" s="228"/>
      <c r="H215" s="80"/>
      <c r="J215" s="76"/>
      <c r="L215" s="80"/>
    </row>
    <row r="216" spans="1:12" ht="18.75">
      <c r="A216" s="219" t="s">
        <v>1522</v>
      </c>
      <c r="B216" s="83" t="s">
        <v>716</v>
      </c>
      <c r="C216" s="84" t="s">
        <v>1721</v>
      </c>
      <c r="D216" s="79">
        <f>+'Alimentazione CE Costi'!K163</f>
        <v>0</v>
      </c>
      <c r="E216" s="79">
        <f>+'Alimentazione CE Costi'!L163</f>
        <v>0</v>
      </c>
      <c r="F216" s="65"/>
      <c r="G216" s="228"/>
      <c r="H216" s="80"/>
      <c r="J216" s="76"/>
      <c r="L216" s="80"/>
    </row>
    <row r="217" spans="1:12" ht="18.75">
      <c r="A217" s="219"/>
      <c r="B217" s="83" t="s">
        <v>717</v>
      </c>
      <c r="C217" s="84" t="s">
        <v>1722</v>
      </c>
      <c r="D217" s="79">
        <f>+'Alimentazione CE Costi'!K164</f>
        <v>0</v>
      </c>
      <c r="E217" s="79">
        <f>+'Alimentazione CE Costi'!L164</f>
        <v>0</v>
      </c>
      <c r="F217" s="65"/>
      <c r="G217" s="228"/>
      <c r="H217" s="80"/>
      <c r="J217" s="76"/>
      <c r="L217" s="80"/>
    </row>
    <row r="218" spans="1:12" ht="18.75">
      <c r="A218" s="219" t="s">
        <v>1571</v>
      </c>
      <c r="B218" s="83" t="s">
        <v>719</v>
      </c>
      <c r="C218" s="84" t="s">
        <v>1723</v>
      </c>
      <c r="D218" s="79">
        <f>+'Alimentazione CE Costi'!K165</f>
        <v>0</v>
      </c>
      <c r="E218" s="79">
        <f>+'Alimentazione CE Costi'!L165</f>
        <v>0</v>
      </c>
      <c r="F218" s="65"/>
      <c r="G218" s="228"/>
      <c r="H218" s="80"/>
      <c r="J218" s="76"/>
      <c r="L218" s="80"/>
    </row>
    <row r="219" spans="1:12" ht="18.75">
      <c r="A219" s="219"/>
      <c r="B219" s="83" t="s">
        <v>721</v>
      </c>
      <c r="C219" s="84" t="s">
        <v>1724</v>
      </c>
      <c r="D219" s="79">
        <f>+'Alimentazione CE Costi'!K167+'Alimentazione CE Costi'!K168</f>
        <v>0</v>
      </c>
      <c r="E219" s="79">
        <f>+'Alimentazione CE Costi'!L167+'Alimentazione CE Costi'!L168</f>
        <v>0</v>
      </c>
      <c r="F219" s="65"/>
      <c r="G219" s="228"/>
      <c r="H219" s="80"/>
      <c r="J219" s="76"/>
      <c r="L219" s="80"/>
    </row>
    <row r="220" spans="1:12" ht="18.75">
      <c r="A220" s="219"/>
      <c r="B220" s="83" t="s">
        <v>725</v>
      </c>
      <c r="C220" s="84" t="s">
        <v>1725</v>
      </c>
      <c r="D220" s="79">
        <f>+'Alimentazione CE Costi'!K170+'Alimentazione CE Costi'!K171</f>
        <v>0</v>
      </c>
      <c r="E220" s="79">
        <f>+'Alimentazione CE Costi'!L170+'Alimentazione CE Costi'!L171</f>
        <v>0</v>
      </c>
      <c r="F220" s="65"/>
      <c r="G220" s="228"/>
      <c r="H220" s="80"/>
      <c r="J220" s="76"/>
      <c r="L220" s="80"/>
    </row>
    <row r="221" spans="1:12" ht="18.75">
      <c r="A221" s="219"/>
      <c r="B221" s="132" t="s">
        <v>727</v>
      </c>
      <c r="C221" s="133" t="s">
        <v>1726</v>
      </c>
      <c r="D221" s="119">
        <f t="shared" ref="D221:E221" si="44">SUM(D222:D225)</f>
        <v>0</v>
      </c>
      <c r="E221" s="119">
        <f t="shared" si="44"/>
        <v>0</v>
      </c>
      <c r="F221" s="65" t="s">
        <v>2110</v>
      </c>
      <c r="G221" s="228"/>
      <c r="H221" s="80"/>
      <c r="J221" s="76"/>
      <c r="L221" s="80"/>
    </row>
    <row r="222" spans="1:12" ht="18.75">
      <c r="A222" s="219" t="s">
        <v>1522</v>
      </c>
      <c r="B222" s="83" t="s">
        <v>729</v>
      </c>
      <c r="C222" s="84" t="s">
        <v>1727</v>
      </c>
      <c r="D222" s="79">
        <f>+'Alimentazione CE Costi'!K173</f>
        <v>0</v>
      </c>
      <c r="E222" s="79">
        <f>+'Alimentazione CE Costi'!L173</f>
        <v>0</v>
      </c>
      <c r="F222" s="65"/>
      <c r="G222" s="228"/>
      <c r="H222" s="80"/>
      <c r="J222" s="76"/>
      <c r="L222" s="80"/>
    </row>
    <row r="223" spans="1:12" ht="18.75">
      <c r="A223" s="219"/>
      <c r="B223" s="83" t="s">
        <v>730</v>
      </c>
      <c r="C223" s="84" t="s">
        <v>1728</v>
      </c>
      <c r="D223" s="79">
        <f>+'Alimentazione CE Costi'!K174</f>
        <v>0</v>
      </c>
      <c r="E223" s="79">
        <f>+'Alimentazione CE Costi'!L174</f>
        <v>0</v>
      </c>
      <c r="F223" s="65"/>
      <c r="G223" s="228"/>
      <c r="H223" s="80"/>
      <c r="J223" s="76"/>
      <c r="L223" s="80"/>
    </row>
    <row r="224" spans="1:12" ht="18.75">
      <c r="A224" s="221" t="s">
        <v>1567</v>
      </c>
      <c r="B224" s="83" t="s">
        <v>731</v>
      </c>
      <c r="C224" s="84" t="s">
        <v>1729</v>
      </c>
      <c r="D224" s="79">
        <f>+'Alimentazione CE Costi'!K175</f>
        <v>0</v>
      </c>
      <c r="E224" s="79">
        <f>+'Alimentazione CE Costi'!L175</f>
        <v>0</v>
      </c>
      <c r="F224" s="373"/>
      <c r="G224" s="228"/>
      <c r="H224" s="80"/>
      <c r="J224" s="76"/>
      <c r="L224" s="80"/>
    </row>
    <row r="225" spans="1:12" ht="18.75">
      <c r="A225" s="221"/>
      <c r="B225" s="83" t="s">
        <v>733</v>
      </c>
      <c r="C225" s="84" t="s">
        <v>1730</v>
      </c>
      <c r="D225" s="79">
        <f>+'Alimentazione CE Costi'!K177+'Alimentazione CE Costi'!K178+'Alimentazione CE Costi'!K179</f>
        <v>0</v>
      </c>
      <c r="E225" s="79">
        <f>+'Alimentazione CE Costi'!L177+'Alimentazione CE Costi'!L178+'Alimentazione CE Costi'!L179</f>
        <v>0</v>
      </c>
      <c r="F225" s="373"/>
      <c r="G225" s="228"/>
      <c r="H225" s="80"/>
      <c r="J225" s="76"/>
      <c r="L225" s="80"/>
    </row>
    <row r="226" spans="1:12" ht="18.75">
      <c r="A226" s="221"/>
      <c r="B226" s="132" t="s">
        <v>1731</v>
      </c>
      <c r="C226" s="133" t="s">
        <v>1732</v>
      </c>
      <c r="D226" s="119">
        <f t="shared" ref="D226:E226" si="45">SUM(D227:D230)</f>
        <v>0</v>
      </c>
      <c r="E226" s="119">
        <f t="shared" si="45"/>
        <v>0</v>
      </c>
      <c r="F226" s="65" t="s">
        <v>2110</v>
      </c>
      <c r="G226" s="228"/>
      <c r="H226" s="80"/>
      <c r="J226" s="76"/>
      <c r="L226" s="80"/>
    </row>
    <row r="227" spans="1:12" ht="18.75">
      <c r="A227" s="221" t="s">
        <v>1522</v>
      </c>
      <c r="B227" s="83" t="s">
        <v>739</v>
      </c>
      <c r="C227" s="84" t="s">
        <v>1733</v>
      </c>
      <c r="D227" s="79">
        <f>+'Alimentazione CE Costi'!K181</f>
        <v>0</v>
      </c>
      <c r="E227" s="79">
        <f>+'Alimentazione CE Costi'!L181</f>
        <v>0</v>
      </c>
      <c r="F227" s="373"/>
      <c r="G227" s="228"/>
      <c r="H227" s="80"/>
      <c r="J227" s="76"/>
      <c r="L227" s="80"/>
    </row>
    <row r="228" spans="1:12" ht="18.75">
      <c r="A228" s="221"/>
      <c r="B228" s="83" t="s">
        <v>740</v>
      </c>
      <c r="C228" s="84" t="s">
        <v>1734</v>
      </c>
      <c r="D228" s="79">
        <f>+'Alimentazione CE Costi'!K182</f>
        <v>0</v>
      </c>
      <c r="E228" s="79">
        <f>+'Alimentazione CE Costi'!L182</f>
        <v>0</v>
      </c>
      <c r="F228" s="373"/>
      <c r="G228" s="228"/>
      <c r="H228" s="80"/>
      <c r="J228" s="76"/>
      <c r="L228" s="80"/>
    </row>
    <row r="229" spans="1:12" ht="18.75">
      <c r="A229" s="221" t="s">
        <v>1567</v>
      </c>
      <c r="B229" s="83" t="s">
        <v>741</v>
      </c>
      <c r="C229" s="84" t="s">
        <v>1735</v>
      </c>
      <c r="D229" s="79">
        <f>+'Alimentazione CE Costi'!K183</f>
        <v>0</v>
      </c>
      <c r="E229" s="79">
        <f>+'Alimentazione CE Costi'!L183</f>
        <v>0</v>
      </c>
      <c r="F229" s="373"/>
      <c r="G229" s="228"/>
      <c r="H229" s="80"/>
      <c r="J229" s="76"/>
      <c r="L229" s="80"/>
    </row>
    <row r="230" spans="1:12" ht="18.75">
      <c r="A230" s="221"/>
      <c r="B230" s="83" t="s">
        <v>742</v>
      </c>
      <c r="C230" s="84" t="s">
        <v>1736</v>
      </c>
      <c r="D230" s="79">
        <f>+'Alimentazione CE Costi'!K185+'Alimentazione CE Costi'!K186</f>
        <v>0</v>
      </c>
      <c r="E230" s="79">
        <f>+'Alimentazione CE Costi'!L185+'Alimentazione CE Costi'!L186</f>
        <v>0</v>
      </c>
      <c r="F230" s="373"/>
      <c r="G230" s="228"/>
      <c r="H230" s="80"/>
      <c r="J230" s="76"/>
      <c r="L230" s="80"/>
    </row>
    <row r="231" spans="1:12" ht="18.75">
      <c r="A231" s="221"/>
      <c r="B231" s="132" t="s">
        <v>746</v>
      </c>
      <c r="C231" s="133" t="s">
        <v>1737</v>
      </c>
      <c r="D231" s="119">
        <f t="shared" ref="D231:E231" si="46">SUM(D232:D235,D240)</f>
        <v>0</v>
      </c>
      <c r="E231" s="119">
        <f t="shared" si="46"/>
        <v>0</v>
      </c>
      <c r="F231" s="65" t="s">
        <v>2110</v>
      </c>
      <c r="G231" s="228"/>
      <c r="H231" s="80"/>
      <c r="J231" s="76"/>
      <c r="L231" s="80"/>
    </row>
    <row r="232" spans="1:12" ht="18.75">
      <c r="A232" s="221" t="s">
        <v>1522</v>
      </c>
      <c r="B232" s="83" t="s">
        <v>747</v>
      </c>
      <c r="C232" s="84" t="s">
        <v>1738</v>
      </c>
      <c r="D232" s="79">
        <f>+'Alimentazione CE Costi'!K190+'Alimentazione CE Costi'!K189</f>
        <v>0</v>
      </c>
      <c r="E232" s="79">
        <f>+'Alimentazione CE Costi'!L190+'Alimentazione CE Costi'!L189</f>
        <v>0</v>
      </c>
      <c r="F232" s="373"/>
      <c r="G232" s="228"/>
      <c r="H232" s="80"/>
      <c r="J232" s="76"/>
      <c r="L232" s="80"/>
    </row>
    <row r="233" spans="1:12" ht="18.75">
      <c r="A233" s="221"/>
      <c r="B233" s="83" t="s">
        <v>750</v>
      </c>
      <c r="C233" s="84" t="s">
        <v>1739</v>
      </c>
      <c r="D233" s="79">
        <f>+'Alimentazione CE Costi'!K191</f>
        <v>0</v>
      </c>
      <c r="E233" s="79">
        <f>+'Alimentazione CE Costi'!L191</f>
        <v>0</v>
      </c>
      <c r="F233" s="373"/>
      <c r="G233" s="228"/>
      <c r="H233" s="80"/>
      <c r="J233" s="76"/>
      <c r="L233" s="80"/>
    </row>
    <row r="234" spans="1:12" ht="18.75">
      <c r="A234" s="221" t="s">
        <v>1567</v>
      </c>
      <c r="B234" s="83" t="s">
        <v>751</v>
      </c>
      <c r="C234" s="84" t="s">
        <v>1740</v>
      </c>
      <c r="D234" s="79">
        <f>+'Alimentazione CE Costi'!K193</f>
        <v>0</v>
      </c>
      <c r="E234" s="79">
        <f>+'Alimentazione CE Costi'!L193</f>
        <v>0</v>
      </c>
      <c r="F234" s="373"/>
      <c r="G234" s="228"/>
      <c r="H234" s="80"/>
      <c r="J234" s="76"/>
      <c r="L234" s="80"/>
    </row>
    <row r="235" spans="1:12" ht="18.75">
      <c r="A235" s="221"/>
      <c r="B235" s="123" t="s">
        <v>754</v>
      </c>
      <c r="C235" s="124" t="s">
        <v>1741</v>
      </c>
      <c r="D235" s="122">
        <f t="shared" ref="D235:E235" si="47">SUM(D236:D239)</f>
        <v>0</v>
      </c>
      <c r="E235" s="122">
        <f t="shared" si="47"/>
        <v>0</v>
      </c>
      <c r="F235" s="65" t="s">
        <v>2110</v>
      </c>
      <c r="G235" s="228"/>
      <c r="H235" s="80"/>
      <c r="J235" s="76"/>
      <c r="L235" s="80"/>
    </row>
    <row r="236" spans="1:12" ht="18.75">
      <c r="A236" s="221"/>
      <c r="B236" s="85" t="s">
        <v>756</v>
      </c>
      <c r="C236" s="86" t="s">
        <v>1742</v>
      </c>
      <c r="D236" s="79">
        <f>+'Alimentazione CE Costi'!K195</f>
        <v>0</v>
      </c>
      <c r="E236" s="79">
        <f>+'Alimentazione CE Costi'!L195</f>
        <v>0</v>
      </c>
      <c r="F236" s="373"/>
      <c r="G236" s="228"/>
      <c r="H236" s="80"/>
      <c r="J236" s="76"/>
      <c r="L236" s="80"/>
    </row>
    <row r="237" spans="1:12" ht="18.75">
      <c r="A237" s="221"/>
      <c r="B237" s="85" t="s">
        <v>758</v>
      </c>
      <c r="C237" s="86" t="s">
        <v>1743</v>
      </c>
      <c r="D237" s="79">
        <f>+'Alimentazione CE Costi'!K196</f>
        <v>0</v>
      </c>
      <c r="E237" s="79">
        <f>+'Alimentazione CE Costi'!L196</f>
        <v>0</v>
      </c>
      <c r="F237" s="373"/>
      <c r="G237" s="228"/>
      <c r="H237" s="80"/>
      <c r="J237" s="76"/>
      <c r="L237" s="80"/>
    </row>
    <row r="238" spans="1:12" ht="18.75">
      <c r="A238" s="221"/>
      <c r="B238" s="85" t="s">
        <v>760</v>
      </c>
      <c r="C238" s="86" t="s">
        <v>1744</v>
      </c>
      <c r="D238" s="79">
        <f>+'Alimentazione CE Costi'!K197</f>
        <v>0</v>
      </c>
      <c r="E238" s="79">
        <f>+'Alimentazione CE Costi'!L197</f>
        <v>0</v>
      </c>
      <c r="F238" s="373"/>
      <c r="G238" s="228"/>
      <c r="H238" s="80"/>
      <c r="J238" s="76"/>
      <c r="L238" s="80"/>
    </row>
    <row r="239" spans="1:12" ht="18.75">
      <c r="A239" s="221"/>
      <c r="B239" s="85" t="s">
        <v>762</v>
      </c>
      <c r="C239" s="86" t="s">
        <v>1745</v>
      </c>
      <c r="D239" s="79">
        <f>+'Alimentazione CE Costi'!K198</f>
        <v>0</v>
      </c>
      <c r="E239" s="79">
        <f>+'Alimentazione CE Costi'!L198</f>
        <v>0</v>
      </c>
      <c r="F239" s="373"/>
      <c r="G239" s="228"/>
      <c r="H239" s="80"/>
      <c r="J239" s="76"/>
      <c r="L239" s="80"/>
    </row>
    <row r="240" spans="1:12" ht="18.75">
      <c r="A240" s="221"/>
      <c r="B240" s="83" t="s">
        <v>763</v>
      </c>
      <c r="C240" s="84" t="s">
        <v>1746</v>
      </c>
      <c r="D240" s="79">
        <f>+'Alimentazione CE Costi'!K199</f>
        <v>0</v>
      </c>
      <c r="E240" s="79">
        <f>+'Alimentazione CE Costi'!L199</f>
        <v>0</v>
      </c>
      <c r="F240" s="373"/>
      <c r="G240" s="228"/>
      <c r="H240" s="80"/>
      <c r="J240" s="76"/>
      <c r="L240" s="80"/>
    </row>
    <row r="241" spans="1:12" ht="18.75">
      <c r="A241" s="221"/>
      <c r="B241" s="132" t="s">
        <v>765</v>
      </c>
      <c r="C241" s="133" t="s">
        <v>1747</v>
      </c>
      <c r="D241" s="119">
        <f t="shared" ref="D241:E241" si="48">SUM(D242:D246)</f>
        <v>0</v>
      </c>
      <c r="E241" s="119">
        <f t="shared" si="48"/>
        <v>0</v>
      </c>
      <c r="F241" s="65" t="s">
        <v>2110</v>
      </c>
      <c r="G241" s="228"/>
      <c r="H241" s="80"/>
      <c r="J241" s="76"/>
      <c r="L241" s="80"/>
    </row>
    <row r="242" spans="1:12" ht="18.75">
      <c r="A242" s="221" t="s">
        <v>1522</v>
      </c>
      <c r="B242" s="83" t="s">
        <v>766</v>
      </c>
      <c r="C242" s="84" t="s">
        <v>1748</v>
      </c>
      <c r="D242" s="79">
        <f>+'Alimentazione CE Costi'!K201</f>
        <v>0</v>
      </c>
      <c r="E242" s="79">
        <f>+'Alimentazione CE Costi'!L201</f>
        <v>0</v>
      </c>
      <c r="F242" s="373"/>
      <c r="G242" s="228"/>
      <c r="H242" s="80"/>
      <c r="J242" s="76"/>
      <c r="L242" s="80"/>
    </row>
    <row r="243" spans="1:12" ht="18.75">
      <c r="A243" s="219"/>
      <c r="B243" s="83" t="s">
        <v>767</v>
      </c>
      <c r="C243" s="84" t="s">
        <v>1749</v>
      </c>
      <c r="D243" s="79">
        <f>+'Alimentazione CE Costi'!K202</f>
        <v>0</v>
      </c>
      <c r="E243" s="79">
        <f>+'Alimentazione CE Costi'!L202</f>
        <v>0</v>
      </c>
      <c r="F243" s="65"/>
      <c r="G243" s="228"/>
      <c r="H243" s="80"/>
      <c r="J243" s="76"/>
      <c r="L243" s="80"/>
    </row>
    <row r="244" spans="1:12" ht="18.75">
      <c r="A244" s="219" t="s">
        <v>1571</v>
      </c>
      <c r="B244" s="83" t="s">
        <v>769</v>
      </c>
      <c r="C244" s="84" t="s">
        <v>1750</v>
      </c>
      <c r="D244" s="79">
        <f>+'Alimentazione CE Costi'!K203</f>
        <v>0</v>
      </c>
      <c r="E244" s="79">
        <f>+'Alimentazione CE Costi'!L203</f>
        <v>0</v>
      </c>
      <c r="F244" s="65"/>
      <c r="G244" s="228"/>
      <c r="H244" s="80"/>
      <c r="J244" s="76"/>
      <c r="L244" s="80"/>
    </row>
    <row r="245" spans="1:12" ht="18.75">
      <c r="A245" s="219"/>
      <c r="B245" s="83" t="s">
        <v>770</v>
      </c>
      <c r="C245" s="84" t="s">
        <v>1751</v>
      </c>
      <c r="D245" s="79">
        <f>+'Alimentazione CE Costi'!K204</f>
        <v>0</v>
      </c>
      <c r="E245" s="79">
        <f>+'Alimentazione CE Costi'!L204</f>
        <v>0</v>
      </c>
      <c r="F245" s="65"/>
      <c r="G245" s="228"/>
      <c r="H245" s="80"/>
      <c r="J245" s="76"/>
      <c r="L245" s="80"/>
    </row>
    <row r="246" spans="1:12" ht="18.75">
      <c r="A246" s="219"/>
      <c r="B246" s="83" t="s">
        <v>771</v>
      </c>
      <c r="C246" s="84" t="s">
        <v>1752</v>
      </c>
      <c r="D246" s="79">
        <f>+'Alimentazione CE Costi'!K205</f>
        <v>0</v>
      </c>
      <c r="E246" s="79">
        <f>+'Alimentazione CE Costi'!L205</f>
        <v>0</v>
      </c>
      <c r="F246" s="65"/>
      <c r="G246" s="228"/>
      <c r="H246" s="80"/>
      <c r="J246" s="76"/>
      <c r="L246" s="80"/>
    </row>
    <row r="247" spans="1:12" ht="18.75">
      <c r="A247" s="219"/>
      <c r="B247" s="132" t="s">
        <v>773</v>
      </c>
      <c r="C247" s="133" t="s">
        <v>1753</v>
      </c>
      <c r="D247" s="119">
        <f t="shared" ref="D247:E247" si="49">SUM(D248:D253)</f>
        <v>0</v>
      </c>
      <c r="E247" s="119">
        <f t="shared" si="49"/>
        <v>0</v>
      </c>
      <c r="F247" s="65" t="s">
        <v>2110</v>
      </c>
      <c r="G247" s="228"/>
      <c r="H247" s="80"/>
      <c r="J247" s="76"/>
      <c r="L247" s="80"/>
    </row>
    <row r="248" spans="1:12" ht="18.75">
      <c r="A248" s="219" t="s">
        <v>1522</v>
      </c>
      <c r="B248" s="83" t="s">
        <v>774</v>
      </c>
      <c r="C248" s="84" t="s">
        <v>1754</v>
      </c>
      <c r="D248" s="79">
        <f>+'Alimentazione CE Costi'!K208+'Alimentazione CE Costi'!K209</f>
        <v>0</v>
      </c>
      <c r="E248" s="79">
        <f>+'Alimentazione CE Costi'!L208+'Alimentazione CE Costi'!L209</f>
        <v>0</v>
      </c>
      <c r="F248" s="65"/>
      <c r="G248" s="228"/>
      <c r="H248" s="80"/>
      <c r="J248" s="76"/>
      <c r="L248" s="80"/>
    </row>
    <row r="249" spans="1:12" ht="18.75">
      <c r="A249" s="219"/>
      <c r="B249" s="83" t="s">
        <v>777</v>
      </c>
      <c r="C249" s="84" t="s">
        <v>1755</v>
      </c>
      <c r="D249" s="79">
        <f>+'Alimentazione CE Costi'!K210</f>
        <v>0</v>
      </c>
      <c r="E249" s="79">
        <f>+'Alimentazione CE Costi'!L210</f>
        <v>0</v>
      </c>
      <c r="F249" s="65"/>
      <c r="G249" s="228"/>
      <c r="H249" s="80"/>
      <c r="J249" s="76"/>
      <c r="L249" s="80"/>
    </row>
    <row r="250" spans="1:12" ht="18.75">
      <c r="A250" s="219" t="s">
        <v>1567</v>
      </c>
      <c r="B250" s="83" t="s">
        <v>778</v>
      </c>
      <c r="C250" s="84" t="s">
        <v>1756</v>
      </c>
      <c r="D250" s="79">
        <f>+'Alimentazione CE Costi'!K211</f>
        <v>0</v>
      </c>
      <c r="E250" s="79">
        <f>+'Alimentazione CE Costi'!L211</f>
        <v>0</v>
      </c>
      <c r="F250" s="65"/>
      <c r="G250" s="228"/>
      <c r="H250" s="80"/>
      <c r="J250" s="76"/>
      <c r="L250" s="80"/>
    </row>
    <row r="251" spans="1:12" ht="18.75">
      <c r="A251" s="219"/>
      <c r="B251" s="83" t="s">
        <v>779</v>
      </c>
      <c r="C251" s="84" t="s">
        <v>1757</v>
      </c>
      <c r="D251" s="79">
        <f>+'Alimentazione CE Costi'!K213</f>
        <v>0</v>
      </c>
      <c r="E251" s="79">
        <f>+'Alimentazione CE Costi'!L213</f>
        <v>0</v>
      </c>
      <c r="F251" s="65"/>
      <c r="G251" s="228"/>
      <c r="H251" s="80"/>
      <c r="J251" s="76"/>
      <c r="L251" s="80"/>
    </row>
    <row r="252" spans="1:12" ht="18.75">
      <c r="A252" s="219"/>
      <c r="B252" s="83" t="s">
        <v>780</v>
      </c>
      <c r="C252" s="84" t="s">
        <v>1758</v>
      </c>
      <c r="D252" s="79">
        <f>+'Alimentazione CE Costi'!K214</f>
        <v>0</v>
      </c>
      <c r="E252" s="79">
        <f>+'Alimentazione CE Costi'!L214</f>
        <v>0</v>
      </c>
      <c r="F252" s="65"/>
      <c r="G252" s="228"/>
      <c r="H252" s="80"/>
      <c r="J252" s="76"/>
      <c r="L252" s="80"/>
    </row>
    <row r="253" spans="1:12" ht="18.75">
      <c r="A253" s="219"/>
      <c r="B253" s="83" t="s">
        <v>781</v>
      </c>
      <c r="C253" s="84" t="s">
        <v>1759</v>
      </c>
      <c r="D253" s="79">
        <f>+'Alimentazione CE Costi'!K215</f>
        <v>0</v>
      </c>
      <c r="E253" s="79">
        <f>+'Alimentazione CE Costi'!L215</f>
        <v>0</v>
      </c>
      <c r="F253" s="65"/>
      <c r="G253" s="228"/>
      <c r="H253" s="80"/>
      <c r="J253" s="76"/>
      <c r="L253" s="80"/>
    </row>
    <row r="254" spans="1:12" ht="18.75">
      <c r="A254" s="219"/>
      <c r="B254" s="132" t="s">
        <v>783</v>
      </c>
      <c r="C254" s="133" t="s">
        <v>1760</v>
      </c>
      <c r="D254" s="119">
        <f t="shared" ref="D254:E254" si="50">SUM(D255:D259)</f>
        <v>0</v>
      </c>
      <c r="E254" s="119">
        <f t="shared" si="50"/>
        <v>0</v>
      </c>
      <c r="F254" s="65" t="s">
        <v>2110</v>
      </c>
      <c r="G254" s="228"/>
      <c r="H254" s="80"/>
      <c r="J254" s="76"/>
      <c r="L254" s="80"/>
    </row>
    <row r="255" spans="1:12" ht="18.75">
      <c r="A255" s="219" t="s">
        <v>1522</v>
      </c>
      <c r="B255" s="83" t="s">
        <v>784</v>
      </c>
      <c r="C255" s="84" t="s">
        <v>1761</v>
      </c>
      <c r="D255" s="79">
        <f>+'Alimentazione CE Costi'!K217</f>
        <v>0</v>
      </c>
      <c r="E255" s="79">
        <f>+'Alimentazione CE Costi'!L217</f>
        <v>0</v>
      </c>
      <c r="F255" s="65"/>
      <c r="G255" s="228"/>
      <c r="H255" s="80"/>
      <c r="J255" s="76"/>
      <c r="L255" s="80"/>
    </row>
    <row r="256" spans="1:12" ht="18.75">
      <c r="A256" s="219"/>
      <c r="B256" s="83" t="s">
        <v>785</v>
      </c>
      <c r="C256" s="84" t="s">
        <v>1762</v>
      </c>
      <c r="D256" s="79">
        <f>+'Alimentazione CE Costi'!K218</f>
        <v>0</v>
      </c>
      <c r="E256" s="79">
        <f>+'Alimentazione CE Costi'!L218</f>
        <v>0</v>
      </c>
      <c r="F256" s="65"/>
      <c r="G256" s="228"/>
      <c r="H256" s="80"/>
      <c r="J256" s="76"/>
      <c r="L256" s="80"/>
    </row>
    <row r="257" spans="1:12" ht="18.75">
      <c r="A257" s="219" t="s">
        <v>1567</v>
      </c>
      <c r="B257" s="83" t="s">
        <v>786</v>
      </c>
      <c r="C257" s="84" t="s">
        <v>1763</v>
      </c>
      <c r="D257" s="79">
        <f>+'Alimentazione CE Costi'!K219</f>
        <v>0</v>
      </c>
      <c r="E257" s="79">
        <f>+'Alimentazione CE Costi'!L219</f>
        <v>0</v>
      </c>
      <c r="F257" s="65"/>
      <c r="G257" s="228"/>
      <c r="H257" s="80"/>
      <c r="J257" s="76"/>
      <c r="L257" s="80"/>
    </row>
    <row r="258" spans="1:12" ht="18.75">
      <c r="A258" s="219"/>
      <c r="B258" s="83" t="s">
        <v>787</v>
      </c>
      <c r="C258" s="84" t="s">
        <v>1764</v>
      </c>
      <c r="D258" s="79">
        <f>+'Alimentazione CE Costi'!K220</f>
        <v>0</v>
      </c>
      <c r="E258" s="79">
        <f>+'Alimentazione CE Costi'!L220</f>
        <v>0</v>
      </c>
      <c r="F258" s="65"/>
      <c r="G258" s="228"/>
      <c r="H258" s="80"/>
      <c r="J258" s="76"/>
      <c r="L258" s="80"/>
    </row>
    <row r="259" spans="1:12" ht="18.75">
      <c r="A259" s="219"/>
      <c r="B259" s="83" t="s">
        <v>788</v>
      </c>
      <c r="C259" s="84" t="s">
        <v>1765</v>
      </c>
      <c r="D259" s="79">
        <f>+'Alimentazione CE Costi'!K221</f>
        <v>0</v>
      </c>
      <c r="E259" s="79">
        <f>+'Alimentazione CE Costi'!L221</f>
        <v>0</v>
      </c>
      <c r="F259" s="65"/>
      <c r="G259" s="228"/>
      <c r="H259" s="80"/>
      <c r="J259" s="76"/>
      <c r="L259" s="80"/>
    </row>
    <row r="260" spans="1:12" ht="18.75">
      <c r="A260" s="219"/>
      <c r="B260" s="132" t="s">
        <v>790</v>
      </c>
      <c r="C260" s="133" t="s">
        <v>1766</v>
      </c>
      <c r="D260" s="119">
        <f t="shared" ref="D260:E260" si="51">SUM(D261:D264)</f>
        <v>104616.94</v>
      </c>
      <c r="E260" s="119">
        <f t="shared" si="51"/>
        <v>104610.98</v>
      </c>
      <c r="F260" s="65" t="s">
        <v>2110</v>
      </c>
      <c r="G260" s="228"/>
      <c r="H260" s="80"/>
      <c r="J260" s="76"/>
      <c r="L260" s="80"/>
    </row>
    <row r="261" spans="1:12" ht="18.75">
      <c r="A261" s="219" t="s">
        <v>1522</v>
      </c>
      <c r="B261" s="83" t="s">
        <v>791</v>
      </c>
      <c r="C261" s="84" t="s">
        <v>1767</v>
      </c>
      <c r="D261" s="79">
        <f>+'Alimentazione CE Costi'!K223</f>
        <v>0</v>
      </c>
      <c r="E261" s="79">
        <f>+'Alimentazione CE Costi'!L223</f>
        <v>0</v>
      </c>
      <c r="F261" s="65"/>
      <c r="G261" s="228"/>
      <c r="H261" s="80"/>
      <c r="J261" s="76"/>
      <c r="L261" s="80"/>
    </row>
    <row r="262" spans="1:12" ht="18.75">
      <c r="A262" s="219"/>
      <c r="B262" s="83" t="s">
        <v>792</v>
      </c>
      <c r="C262" s="84" t="s">
        <v>1768</v>
      </c>
      <c r="D262" s="79">
        <f>+'Alimentazione CE Costi'!K224</f>
        <v>0</v>
      </c>
      <c r="E262" s="79">
        <f>+'Alimentazione CE Costi'!L224</f>
        <v>0</v>
      </c>
      <c r="F262" s="65"/>
      <c r="G262" s="228"/>
      <c r="H262" s="80"/>
      <c r="J262" s="76"/>
      <c r="L262" s="80"/>
    </row>
    <row r="263" spans="1:12" ht="18.75">
      <c r="A263" s="219" t="s">
        <v>1567</v>
      </c>
      <c r="B263" s="83" t="s">
        <v>793</v>
      </c>
      <c r="C263" s="84" t="s">
        <v>1769</v>
      </c>
      <c r="D263" s="79">
        <f>+'Alimentazione CE Costi'!K225</f>
        <v>0</v>
      </c>
      <c r="E263" s="79">
        <f>+'Alimentazione CE Costi'!L225</f>
        <v>0</v>
      </c>
      <c r="F263" s="65"/>
      <c r="G263" s="228"/>
      <c r="H263" s="80"/>
      <c r="J263" s="76"/>
      <c r="L263" s="80"/>
    </row>
    <row r="264" spans="1:12" ht="18.75">
      <c r="A264" s="219"/>
      <c r="B264" s="83" t="s">
        <v>794</v>
      </c>
      <c r="C264" s="84" t="s">
        <v>1770</v>
      </c>
      <c r="D264" s="79">
        <f>+ROUND(SUM('Alimentazione CE Costi'!K227:K230),2)</f>
        <v>104616.94</v>
      </c>
      <c r="E264" s="79">
        <f>+ROUND(SUM('Alimentazione CE Costi'!L227:L230),2)</f>
        <v>104610.98</v>
      </c>
      <c r="F264" s="65"/>
      <c r="G264" s="228"/>
      <c r="H264" s="80"/>
      <c r="J264" s="76"/>
      <c r="L264" s="80"/>
    </row>
    <row r="265" spans="1:12" ht="18.75">
      <c r="A265" s="219"/>
      <c r="B265" s="132" t="s">
        <v>800</v>
      </c>
      <c r="C265" s="133" t="s">
        <v>1771</v>
      </c>
      <c r="D265" s="119">
        <f t="shared" ref="D265:E265" si="52">+D266+D269+D271+D272+D273+D270</f>
        <v>521160.59</v>
      </c>
      <c r="E265" s="119">
        <f t="shared" si="52"/>
        <v>525883.79</v>
      </c>
      <c r="F265" s="65" t="s">
        <v>2110</v>
      </c>
      <c r="G265" s="228"/>
      <c r="H265" s="80"/>
      <c r="J265" s="76"/>
      <c r="L265" s="80"/>
    </row>
    <row r="266" spans="1:12" ht="18.75">
      <c r="A266" s="219" t="s">
        <v>1522</v>
      </c>
      <c r="B266" s="123" t="s">
        <v>801</v>
      </c>
      <c r="C266" s="124" t="s">
        <v>1772</v>
      </c>
      <c r="D266" s="122">
        <f t="shared" ref="D266:E266" si="53">+D267+D268</f>
        <v>0</v>
      </c>
      <c r="E266" s="122">
        <f t="shared" si="53"/>
        <v>0</v>
      </c>
      <c r="F266" s="65" t="s">
        <v>2110</v>
      </c>
      <c r="G266" s="228"/>
      <c r="H266" s="80"/>
      <c r="J266" s="76"/>
      <c r="L266" s="80"/>
    </row>
    <row r="267" spans="1:12" ht="18.75">
      <c r="A267" s="221" t="s">
        <v>1522</v>
      </c>
      <c r="B267" s="85" t="s">
        <v>803</v>
      </c>
      <c r="C267" s="86" t="s">
        <v>1773</v>
      </c>
      <c r="D267" s="79">
        <f>+'Alimentazione CE Costi'!K233</f>
        <v>0</v>
      </c>
      <c r="E267" s="79">
        <f>+'Alimentazione CE Costi'!L233</f>
        <v>0</v>
      </c>
      <c r="F267" s="373"/>
      <c r="G267" s="228"/>
      <c r="H267" s="80"/>
      <c r="J267" s="76"/>
      <c r="L267" s="80"/>
    </row>
    <row r="268" spans="1:12" ht="18.75">
      <c r="A268" s="221" t="s">
        <v>1522</v>
      </c>
      <c r="B268" s="85" t="s">
        <v>805</v>
      </c>
      <c r="C268" s="86" t="s">
        <v>1774</v>
      </c>
      <c r="D268" s="79">
        <f>+'Alimentazione CE Costi'!K234</f>
        <v>0</v>
      </c>
      <c r="E268" s="79">
        <f>+'Alimentazione CE Costi'!L234</f>
        <v>0</v>
      </c>
      <c r="F268" s="373"/>
      <c r="G268" s="228"/>
      <c r="H268" s="80"/>
      <c r="J268" s="76"/>
      <c r="L268" s="80"/>
    </row>
    <row r="269" spans="1:12" ht="18.75">
      <c r="A269" s="219"/>
      <c r="B269" s="83" t="s">
        <v>807</v>
      </c>
      <c r="C269" s="84" t="s">
        <v>1775</v>
      </c>
      <c r="D269" s="79">
        <f>+'Alimentazione CE Costi'!K236+'Alimentazione CE Costi'!K237+'Alimentazione CE Costi'!K238+'Alimentazione CE Costi'!K239</f>
        <v>0</v>
      </c>
      <c r="E269" s="79">
        <f>+'Alimentazione CE Costi'!L236+'Alimentazione CE Costi'!L237+'Alimentazione CE Costi'!L238+'Alimentazione CE Costi'!L239</f>
        <v>0</v>
      </c>
      <c r="F269" s="65"/>
      <c r="G269" s="228"/>
      <c r="H269" s="80"/>
      <c r="J269" s="76"/>
      <c r="L269" s="80"/>
    </row>
    <row r="270" spans="1:12" ht="25.5">
      <c r="A270" s="219" t="s">
        <v>1567</v>
      </c>
      <c r="B270" s="83" t="s">
        <v>813</v>
      </c>
      <c r="C270" s="84" t="s">
        <v>1776</v>
      </c>
      <c r="D270" s="79">
        <f>+'Alimentazione CE Costi'!K240</f>
        <v>0</v>
      </c>
      <c r="E270" s="79">
        <f>+'Alimentazione CE Costi'!L240</f>
        <v>0</v>
      </c>
      <c r="F270" s="65"/>
      <c r="G270" s="228"/>
      <c r="H270" s="80"/>
      <c r="J270" s="76"/>
      <c r="L270" s="80"/>
    </row>
    <row r="271" spans="1:12" ht="18.75">
      <c r="A271" s="219" t="s">
        <v>1571</v>
      </c>
      <c r="B271" s="83" t="s">
        <v>815</v>
      </c>
      <c r="C271" s="84" t="s">
        <v>1777</v>
      </c>
      <c r="D271" s="79">
        <f>+'Alimentazione CE Costi'!K241+'Alimentazione CE Costi'!K242+'Alimentazione CE Costi'!K243</f>
        <v>521160.59</v>
      </c>
      <c r="E271" s="79">
        <f>+'Alimentazione CE Costi'!L241+'Alimentazione CE Costi'!L242+'Alimentazione CE Costi'!L243</f>
        <v>525883.79</v>
      </c>
      <c r="F271" s="65"/>
      <c r="G271" s="228"/>
      <c r="H271" s="80"/>
      <c r="J271" s="76"/>
      <c r="L271" s="80"/>
    </row>
    <row r="272" spans="1:12" ht="18.75">
      <c r="A272" s="219"/>
      <c r="B272" s="83" t="s">
        <v>816</v>
      </c>
      <c r="C272" s="84" t="s">
        <v>1778</v>
      </c>
      <c r="D272" s="79">
        <f>+ROUND(SUM('Alimentazione CE Costi'!K245:K252),2)</f>
        <v>0</v>
      </c>
      <c r="E272" s="79">
        <f>+ROUND(SUM('Alimentazione CE Costi'!L245:L252),2)</f>
        <v>0</v>
      </c>
      <c r="F272" s="65"/>
      <c r="G272" s="228"/>
      <c r="H272" s="80"/>
      <c r="J272" s="76"/>
      <c r="L272" s="80"/>
    </row>
    <row r="273" spans="1:12" ht="18.75">
      <c r="A273" s="219"/>
      <c r="B273" s="83" t="s">
        <v>822</v>
      </c>
      <c r="C273" s="84" t="s">
        <v>1779</v>
      </c>
      <c r="D273" s="79">
        <f>+'Alimentazione CE Costi'!K254+'Alimentazione CE Costi'!K255</f>
        <v>0</v>
      </c>
      <c r="E273" s="79">
        <f>+'Alimentazione CE Costi'!L254+'Alimentazione CE Costi'!L255</f>
        <v>0</v>
      </c>
      <c r="F273" s="65"/>
      <c r="G273" s="228"/>
      <c r="H273" s="80"/>
      <c r="J273" s="76"/>
      <c r="L273" s="80"/>
    </row>
    <row r="274" spans="1:12" ht="18.75">
      <c r="A274" s="219"/>
      <c r="B274" s="132" t="s">
        <v>825</v>
      </c>
      <c r="C274" s="133" t="s">
        <v>1780</v>
      </c>
      <c r="D274" s="119">
        <f t="shared" ref="D274:E274" si="54">SUM(D275:D281)</f>
        <v>953831.69</v>
      </c>
      <c r="E274" s="119">
        <f t="shared" si="54"/>
        <v>840194.0199999999</v>
      </c>
      <c r="F274" s="65" t="s">
        <v>2110</v>
      </c>
      <c r="G274" s="228"/>
      <c r="H274" s="80"/>
      <c r="J274" s="76"/>
      <c r="L274" s="80"/>
    </row>
    <row r="275" spans="1:12" ht="18.75">
      <c r="A275" s="219"/>
      <c r="B275" s="83" t="s">
        <v>827</v>
      </c>
      <c r="C275" s="84" t="s">
        <v>1781</v>
      </c>
      <c r="D275" s="79">
        <f>+'Alimentazione CE Costi'!K257</f>
        <v>80050</v>
      </c>
      <c r="E275" s="79">
        <f>+'Alimentazione CE Costi'!L257</f>
        <v>110800</v>
      </c>
      <c r="F275" s="65"/>
      <c r="G275" s="228"/>
      <c r="H275" s="80"/>
      <c r="J275" s="76"/>
      <c r="L275" s="80"/>
    </row>
    <row r="276" spans="1:12" ht="18.75">
      <c r="A276" s="219"/>
      <c r="B276" s="83" t="s">
        <v>829</v>
      </c>
      <c r="C276" s="84" t="s">
        <v>1782</v>
      </c>
      <c r="D276" s="79">
        <f>+'Alimentazione CE Costi'!K258</f>
        <v>608142.81999999995</v>
      </c>
      <c r="E276" s="79">
        <f>+'Alimentazione CE Costi'!L258</f>
        <v>557992.57999999996</v>
      </c>
      <c r="F276" s="65"/>
      <c r="G276" s="228"/>
      <c r="H276" s="80"/>
      <c r="J276" s="76"/>
      <c r="L276" s="80"/>
    </row>
    <row r="277" spans="1:12" ht="25.5">
      <c r="A277" s="219"/>
      <c r="B277" s="83" t="s">
        <v>831</v>
      </c>
      <c r="C277" s="84" t="s">
        <v>1783</v>
      </c>
      <c r="D277" s="79">
        <f>+'Alimentazione CE Costi'!K259</f>
        <v>0</v>
      </c>
      <c r="E277" s="79">
        <f>+'Alimentazione CE Costi'!L259</f>
        <v>0</v>
      </c>
      <c r="F277" s="65"/>
      <c r="G277" s="228"/>
      <c r="H277" s="80"/>
      <c r="J277" s="76"/>
      <c r="L277" s="80"/>
    </row>
    <row r="278" spans="1:12" ht="25.5">
      <c r="A278" s="219"/>
      <c r="B278" s="83" t="s">
        <v>833</v>
      </c>
      <c r="C278" s="84" t="s">
        <v>1784</v>
      </c>
      <c r="D278" s="79">
        <f>+'Alimentazione CE Costi'!K261+'Alimentazione CE Costi'!K262+'Alimentazione CE Costi'!K263+'Alimentazione CE Costi'!K264</f>
        <v>186713.25</v>
      </c>
      <c r="E278" s="79">
        <f>+'Alimentazione CE Costi'!L261+'Alimentazione CE Costi'!L262+'Alimentazione CE Costi'!L263+'Alimentazione CE Costi'!L264</f>
        <v>91809.06</v>
      </c>
      <c r="F278" s="65"/>
      <c r="G278" s="228"/>
      <c r="H278" s="80"/>
      <c r="J278" s="76"/>
      <c r="L278" s="80"/>
    </row>
    <row r="279" spans="1:12" ht="25.5">
      <c r="A279" s="219" t="s">
        <v>1522</v>
      </c>
      <c r="B279" s="83" t="s">
        <v>839</v>
      </c>
      <c r="C279" s="84" t="s">
        <v>1785</v>
      </c>
      <c r="D279" s="79">
        <f>+'Alimentazione CE Costi'!K266+'Alimentazione CE Costi'!K267+'Alimentazione CE Costi'!K268+'Alimentazione CE Costi'!K269</f>
        <v>0</v>
      </c>
      <c r="E279" s="79">
        <f>+'Alimentazione CE Costi'!L266+'Alimentazione CE Costi'!L267+'Alimentazione CE Costi'!L268+'Alimentazione CE Costi'!L269</f>
        <v>0</v>
      </c>
      <c r="F279" s="65"/>
      <c r="G279" s="228"/>
      <c r="H279" s="80"/>
      <c r="J279" s="76"/>
      <c r="L279" s="80"/>
    </row>
    <row r="280" spans="1:12" ht="18.75">
      <c r="A280" s="219"/>
      <c r="B280" s="83" t="s">
        <v>841</v>
      </c>
      <c r="C280" s="84" t="s">
        <v>1786</v>
      </c>
      <c r="D280" s="79">
        <f>+ROUND(SUM('Alimentazione CE Costi'!K271:K281),2)</f>
        <v>78925.62</v>
      </c>
      <c r="E280" s="79">
        <f>+ROUND(SUM('Alimentazione CE Costi'!L271:L281),2)</f>
        <v>79592.38</v>
      </c>
      <c r="F280" s="65"/>
      <c r="G280" s="228"/>
      <c r="H280" s="80"/>
      <c r="J280" s="76"/>
      <c r="L280" s="80"/>
    </row>
    <row r="281" spans="1:12" ht="25.5">
      <c r="A281" s="219" t="s">
        <v>1522</v>
      </c>
      <c r="B281" s="83" t="s">
        <v>852</v>
      </c>
      <c r="C281" s="84" t="s">
        <v>1787</v>
      </c>
      <c r="D281" s="79">
        <f>+ROUND(SUM('Alimentazione CE Costi'!K283:K291),2)</f>
        <v>0</v>
      </c>
      <c r="E281" s="79">
        <f>+ROUND(SUM('Alimentazione CE Costi'!L283:L291),2)</f>
        <v>0</v>
      </c>
      <c r="F281" s="65"/>
      <c r="G281" s="228"/>
      <c r="H281" s="80"/>
      <c r="J281" s="76"/>
      <c r="L281" s="80"/>
    </row>
    <row r="282" spans="1:12" ht="18.75">
      <c r="A282" s="219"/>
      <c r="B282" s="132" t="s">
        <v>854</v>
      </c>
      <c r="C282" s="133" t="s">
        <v>1788</v>
      </c>
      <c r="D282" s="119">
        <f t="shared" ref="D282:E282" si="55">SUM(D283:D289)</f>
        <v>2936977.31</v>
      </c>
      <c r="E282" s="119">
        <f t="shared" si="55"/>
        <v>1699348.6</v>
      </c>
      <c r="F282" s="65" t="s">
        <v>2110</v>
      </c>
      <c r="G282" s="228"/>
      <c r="H282" s="80"/>
      <c r="J282" s="76"/>
      <c r="L282" s="80"/>
    </row>
    <row r="283" spans="1:12" ht="18.75">
      <c r="A283" s="219"/>
      <c r="B283" s="83" t="s">
        <v>856</v>
      </c>
      <c r="C283" s="84" t="s">
        <v>1789</v>
      </c>
      <c r="D283" s="79">
        <f>+'Alimentazione CE Costi'!K293</f>
        <v>0</v>
      </c>
      <c r="E283" s="79">
        <f>+'Alimentazione CE Costi'!L293</f>
        <v>0</v>
      </c>
      <c r="F283" s="65"/>
      <c r="G283" s="228"/>
      <c r="H283" s="80"/>
      <c r="J283" s="76"/>
      <c r="L283" s="80"/>
    </row>
    <row r="284" spans="1:12" ht="18.75">
      <c r="A284" s="219"/>
      <c r="B284" s="83" t="s">
        <v>858</v>
      </c>
      <c r="C284" s="84" t="s">
        <v>1790</v>
      </c>
      <c r="D284" s="79">
        <f>+'Alimentazione CE Costi'!K294</f>
        <v>0</v>
      </c>
      <c r="E284" s="79">
        <f>+'Alimentazione CE Costi'!L294</f>
        <v>0</v>
      </c>
      <c r="F284" s="65"/>
      <c r="G284" s="228"/>
      <c r="H284" s="80"/>
      <c r="J284" s="76"/>
      <c r="L284" s="80"/>
    </row>
    <row r="285" spans="1:12" ht="18.75">
      <c r="A285" s="219"/>
      <c r="B285" s="83" t="s">
        <v>860</v>
      </c>
      <c r="C285" s="84" t="s">
        <v>1791</v>
      </c>
      <c r="D285" s="79">
        <f>+'Alimentazione CE Costi'!K295</f>
        <v>0</v>
      </c>
      <c r="E285" s="79">
        <f>+'Alimentazione CE Costi'!L295</f>
        <v>0</v>
      </c>
      <c r="F285" s="65"/>
      <c r="G285" s="228"/>
      <c r="H285" s="80"/>
      <c r="J285" s="76"/>
      <c r="L285" s="80"/>
    </row>
    <row r="286" spans="1:12" ht="18.75">
      <c r="A286" s="219"/>
      <c r="B286" s="83" t="s">
        <v>862</v>
      </c>
      <c r="C286" s="84" t="s">
        <v>1792</v>
      </c>
      <c r="D286" s="79">
        <f>+'Alimentazione CE Costi'!K296</f>
        <v>0</v>
      </c>
      <c r="E286" s="79">
        <f>+'Alimentazione CE Costi'!L296</f>
        <v>0</v>
      </c>
      <c r="F286" s="65"/>
      <c r="G286" s="228"/>
      <c r="H286" s="80"/>
      <c r="J286" s="76"/>
      <c r="L286" s="80"/>
    </row>
    <row r="287" spans="1:12" ht="18.75">
      <c r="A287" s="219"/>
      <c r="B287" s="83" t="s">
        <v>864</v>
      </c>
      <c r="C287" s="84" t="s">
        <v>1793</v>
      </c>
      <c r="D287" s="79">
        <f>+ROUND(SUM('Alimentazione CE Costi'!K298:K307),2)</f>
        <v>1326044.8500000001</v>
      </c>
      <c r="E287" s="79">
        <f>+ROUND(SUM('Alimentazione CE Costi'!L298:L307),2)</f>
        <v>368366.01</v>
      </c>
      <c r="F287" s="65"/>
      <c r="G287" s="228"/>
      <c r="H287" s="80"/>
      <c r="J287" s="76"/>
      <c r="L287" s="80"/>
    </row>
    <row r="288" spans="1:12" ht="18.75">
      <c r="A288" s="219" t="s">
        <v>1522</v>
      </c>
      <c r="B288" s="83" t="s">
        <v>875</v>
      </c>
      <c r="C288" s="84" t="s">
        <v>1794</v>
      </c>
      <c r="D288" s="79">
        <f>+'Alimentazione CE Costi'!K309+'Alimentazione CE Costi'!K310</f>
        <v>1610932.46</v>
      </c>
      <c r="E288" s="79">
        <f>+'Alimentazione CE Costi'!L309+'Alimentazione CE Costi'!L310</f>
        <v>1330982.5900000001</v>
      </c>
      <c r="F288" s="65"/>
      <c r="G288" s="228"/>
      <c r="H288" s="80"/>
      <c r="J288" s="76"/>
      <c r="L288" s="80"/>
    </row>
    <row r="289" spans="1:12" ht="18.75">
      <c r="A289" s="219" t="s">
        <v>1522</v>
      </c>
      <c r="B289" s="83" t="s">
        <v>879</v>
      </c>
      <c r="C289" s="84" t="s">
        <v>1795</v>
      </c>
      <c r="D289" s="79">
        <f>+'Alimentazione CE Costi'!K311</f>
        <v>0</v>
      </c>
      <c r="E289" s="79">
        <f>+'Alimentazione CE Costi'!L311</f>
        <v>0</v>
      </c>
      <c r="F289" s="65"/>
      <c r="G289" s="228"/>
      <c r="H289" s="93"/>
      <c r="J289" s="76"/>
      <c r="L289" s="80"/>
    </row>
    <row r="290" spans="1:12" ht="25.5">
      <c r="A290" s="219"/>
      <c r="B290" s="132" t="s">
        <v>881</v>
      </c>
      <c r="C290" s="133" t="s">
        <v>1796</v>
      </c>
      <c r="D290" s="119">
        <f t="shared" ref="D290:E290" si="56">SUM(D291:D293,D300)</f>
        <v>2408719.4900000002</v>
      </c>
      <c r="E290" s="119">
        <f t="shared" si="56"/>
        <v>2204772.8199999998</v>
      </c>
      <c r="F290" s="65" t="s">
        <v>2110</v>
      </c>
      <c r="G290" s="228"/>
      <c r="H290" s="80"/>
      <c r="J290" s="76"/>
      <c r="L290" s="80"/>
    </row>
    <row r="291" spans="1:12" ht="18.75">
      <c r="A291" s="221" t="s">
        <v>1522</v>
      </c>
      <c r="B291" s="83" t="s">
        <v>883</v>
      </c>
      <c r="C291" s="84" t="s">
        <v>1797</v>
      </c>
      <c r="D291" s="79">
        <f>+'Alimentazione CE Costi'!K313</f>
        <v>130103.06</v>
      </c>
      <c r="E291" s="79">
        <f>+'Alimentazione CE Costi'!L313</f>
        <v>96589.21</v>
      </c>
      <c r="F291" s="373"/>
      <c r="G291" s="228"/>
      <c r="H291" s="80"/>
      <c r="J291" s="76"/>
      <c r="L291" s="80"/>
    </row>
    <row r="292" spans="1:12" ht="18.75">
      <c r="A292" s="221"/>
      <c r="B292" s="83" t="s">
        <v>885</v>
      </c>
      <c r="C292" s="84" t="s">
        <v>1798</v>
      </c>
      <c r="D292" s="79">
        <f>+'Alimentazione CE Costi'!K314</f>
        <v>1725.86</v>
      </c>
      <c r="E292" s="79">
        <f>+'Alimentazione CE Costi'!L314</f>
        <v>2896.11</v>
      </c>
      <c r="F292" s="373"/>
      <c r="G292" s="228"/>
      <c r="H292" s="80"/>
      <c r="J292" s="76"/>
      <c r="L292" s="80"/>
    </row>
    <row r="293" spans="1:12" ht="25.5">
      <c r="A293" s="221"/>
      <c r="B293" s="123" t="s">
        <v>887</v>
      </c>
      <c r="C293" s="124" t="s">
        <v>1799</v>
      </c>
      <c r="D293" s="122">
        <f t="shared" ref="D293:E293" si="57">SUM(D294:D299)</f>
        <v>2266482.35</v>
      </c>
      <c r="E293" s="122">
        <f t="shared" si="57"/>
        <v>2105287.5</v>
      </c>
      <c r="F293" s="65" t="s">
        <v>2110</v>
      </c>
      <c r="G293" s="228"/>
      <c r="H293" s="80"/>
      <c r="J293" s="76"/>
      <c r="L293" s="80"/>
    </row>
    <row r="294" spans="1:12" ht="18.75">
      <c r="A294" s="221"/>
      <c r="B294" s="85" t="s">
        <v>889</v>
      </c>
      <c r="C294" s="86" t="s">
        <v>1800</v>
      </c>
      <c r="D294" s="79">
        <f>+'Alimentazione CE Costi'!K316</f>
        <v>49134.67</v>
      </c>
      <c r="E294" s="79">
        <f>+'Alimentazione CE Costi'!L316</f>
        <v>44698.95</v>
      </c>
      <c r="F294" s="373"/>
      <c r="G294" s="228"/>
      <c r="H294" s="80"/>
      <c r="J294" s="76"/>
      <c r="L294" s="80"/>
    </row>
    <row r="295" spans="1:12" ht="18.75">
      <c r="A295" s="221"/>
      <c r="B295" s="85" t="s">
        <v>891</v>
      </c>
      <c r="C295" s="86" t="s">
        <v>1801</v>
      </c>
      <c r="D295" s="79">
        <f>+'Alimentazione CE Costi'!K318+'Alimentazione CE Costi'!K319+'Alimentazione CE Costi'!K320</f>
        <v>30902.51</v>
      </c>
      <c r="E295" s="79">
        <f>+'Alimentazione CE Costi'!L318+'Alimentazione CE Costi'!L319+'Alimentazione CE Costi'!L320</f>
        <v>36204.160000000003</v>
      </c>
      <c r="F295" s="373"/>
      <c r="G295" s="228"/>
      <c r="H295" s="80"/>
      <c r="J295" s="76"/>
      <c r="L295" s="80"/>
    </row>
    <row r="296" spans="1:12" ht="18.75">
      <c r="A296" s="221"/>
      <c r="B296" s="85" t="s">
        <v>896</v>
      </c>
      <c r="C296" s="86" t="s">
        <v>1802</v>
      </c>
      <c r="D296" s="79">
        <f>+'Alimentazione CE Costi'!K322+'Alimentazione CE Costi'!K323+'Alimentazione CE Costi'!K324+'Alimentazione CE Costi'!K325</f>
        <v>174214.19</v>
      </c>
      <c r="E296" s="79">
        <f>+'Alimentazione CE Costi'!L322+'Alimentazione CE Costi'!L323+'Alimentazione CE Costi'!L324+'Alimentazione CE Costi'!L325</f>
        <v>186083.49</v>
      </c>
      <c r="F296" s="373"/>
      <c r="G296" s="228"/>
      <c r="H296" s="80"/>
      <c r="J296" s="76"/>
      <c r="L296" s="80"/>
    </row>
    <row r="297" spans="1:12" ht="18.75">
      <c r="A297" s="221"/>
      <c r="B297" s="85" t="s">
        <v>902</v>
      </c>
      <c r="C297" s="86" t="s">
        <v>1803</v>
      </c>
      <c r="D297" s="79">
        <f>+SUM('Alimentazione CE Costi'!K327:K337)</f>
        <v>736944</v>
      </c>
      <c r="E297" s="79">
        <f>+SUM('Alimentazione CE Costi'!L327:L337)</f>
        <v>706352.35000000009</v>
      </c>
      <c r="F297" s="373"/>
      <c r="G297" s="228"/>
      <c r="H297" s="80"/>
      <c r="J297" s="76"/>
      <c r="L297" s="80"/>
    </row>
    <row r="298" spans="1:12" ht="18.75">
      <c r="A298" s="221"/>
      <c r="B298" s="85" t="s">
        <v>905</v>
      </c>
      <c r="C298" s="86" t="s">
        <v>1804</v>
      </c>
      <c r="D298" s="79">
        <f>+'Alimentazione CE Costi'!K338</f>
        <v>33772.28</v>
      </c>
      <c r="E298" s="79">
        <f>+'Alimentazione CE Costi'!L338</f>
        <v>0</v>
      </c>
      <c r="F298" s="373"/>
      <c r="G298" s="228"/>
      <c r="H298" s="80"/>
      <c r="J298" s="76"/>
      <c r="L298" s="80"/>
    </row>
    <row r="299" spans="1:12" ht="18.75">
      <c r="A299" s="221"/>
      <c r="B299" s="85" t="s">
        <v>907</v>
      </c>
      <c r="C299" s="86" t="s">
        <v>1805</v>
      </c>
      <c r="D299" s="79">
        <f>+ROUND(SUM('Alimentazione CE Costi'!K340:K348),2)</f>
        <v>1241514.7</v>
      </c>
      <c r="E299" s="79">
        <f>+ROUND(SUM('Alimentazione CE Costi'!L340:L348),2)</f>
        <v>1131948.55</v>
      </c>
      <c r="F299" s="373"/>
      <c r="G299" s="228"/>
      <c r="H299" s="80"/>
      <c r="J299" s="76"/>
      <c r="L299" s="80"/>
    </row>
    <row r="300" spans="1:12" ht="18.75">
      <c r="A300" s="221"/>
      <c r="B300" s="123" t="s">
        <v>918</v>
      </c>
      <c r="C300" s="124" t="s">
        <v>1806</v>
      </c>
      <c r="D300" s="122">
        <f t="shared" ref="D300:E300" si="58">SUM(D301:D303)</f>
        <v>10408.219999999999</v>
      </c>
      <c r="E300" s="122">
        <f t="shared" si="58"/>
        <v>0</v>
      </c>
      <c r="F300" s="65" t="s">
        <v>2110</v>
      </c>
      <c r="G300" s="228"/>
      <c r="H300" s="80"/>
      <c r="J300" s="76"/>
      <c r="L300" s="80"/>
    </row>
    <row r="301" spans="1:12" ht="25.5">
      <c r="A301" s="221" t="s">
        <v>1522</v>
      </c>
      <c r="B301" s="85" t="s">
        <v>920</v>
      </c>
      <c r="C301" s="86" t="s">
        <v>1807</v>
      </c>
      <c r="D301" s="79">
        <f>+'Alimentazione CE Costi'!K350</f>
        <v>10408.219999999999</v>
      </c>
      <c r="E301" s="79">
        <f>+'Alimentazione CE Costi'!L350</f>
        <v>0</v>
      </c>
      <c r="F301" s="373"/>
      <c r="G301" s="228"/>
      <c r="H301" s="80"/>
      <c r="J301" s="76"/>
      <c r="L301" s="80"/>
    </row>
    <row r="302" spans="1:12" ht="25.5">
      <c r="A302" s="221"/>
      <c r="B302" s="85" t="s">
        <v>922</v>
      </c>
      <c r="C302" s="86" t="s">
        <v>1808</v>
      </c>
      <c r="D302" s="79">
        <f>+'Alimentazione CE Costi'!K351</f>
        <v>0</v>
      </c>
      <c r="E302" s="79">
        <f>+'Alimentazione CE Costi'!L351</f>
        <v>0</v>
      </c>
      <c r="F302" s="373"/>
      <c r="G302" s="228"/>
      <c r="H302" s="80"/>
      <c r="J302" s="76"/>
      <c r="L302" s="80"/>
    </row>
    <row r="303" spans="1:12" ht="25.5">
      <c r="A303" s="221" t="s">
        <v>1571</v>
      </c>
      <c r="B303" s="85" t="s">
        <v>924</v>
      </c>
      <c r="C303" s="86" t="s">
        <v>1809</v>
      </c>
      <c r="D303" s="79">
        <f>+'Alimentazione CE Costi'!K352</f>
        <v>0</v>
      </c>
      <c r="E303" s="79">
        <f>+'Alimentazione CE Costi'!L352</f>
        <v>0</v>
      </c>
      <c r="F303" s="373"/>
      <c r="G303" s="228"/>
      <c r="H303" s="80"/>
      <c r="J303" s="76"/>
      <c r="L303" s="80"/>
    </row>
    <row r="304" spans="1:12" ht="18.75">
      <c r="A304" s="221"/>
      <c r="B304" s="132" t="s">
        <v>926</v>
      </c>
      <c r="C304" s="133" t="s">
        <v>1810</v>
      </c>
      <c r="D304" s="119">
        <f t="shared" ref="D304:E304" si="59">SUM(D305:D311)</f>
        <v>930897.64</v>
      </c>
      <c r="E304" s="119">
        <f t="shared" si="59"/>
        <v>658928.52</v>
      </c>
      <c r="F304" s="65" t="s">
        <v>2110</v>
      </c>
      <c r="G304" s="228"/>
      <c r="H304" s="80"/>
      <c r="J304" s="76"/>
      <c r="L304" s="80"/>
    </row>
    <row r="305" spans="1:12" ht="25.5">
      <c r="A305" s="221" t="s">
        <v>1522</v>
      </c>
      <c r="B305" s="83" t="s">
        <v>928</v>
      </c>
      <c r="C305" s="84" t="s">
        <v>1811</v>
      </c>
      <c r="D305" s="79">
        <f>+'Alimentazione CE Costi'!K354</f>
        <v>0</v>
      </c>
      <c r="E305" s="79">
        <f>+'Alimentazione CE Costi'!L354</f>
        <v>0</v>
      </c>
      <c r="F305" s="373"/>
      <c r="G305" s="228"/>
      <c r="H305" s="80"/>
      <c r="J305" s="76"/>
      <c r="L305" s="80"/>
    </row>
    <row r="306" spans="1:12" ht="25.5">
      <c r="A306" s="221"/>
      <c r="B306" s="83" t="s">
        <v>930</v>
      </c>
      <c r="C306" s="84" t="s">
        <v>1812</v>
      </c>
      <c r="D306" s="79">
        <f>+'Alimentazione CE Costi'!K355</f>
        <v>0</v>
      </c>
      <c r="E306" s="79">
        <f>+'Alimentazione CE Costi'!L355</f>
        <v>0</v>
      </c>
      <c r="F306" s="373"/>
      <c r="G306" s="228"/>
      <c r="H306" s="80"/>
      <c r="J306" s="76"/>
      <c r="L306" s="80"/>
    </row>
    <row r="307" spans="1:12" ht="18.75">
      <c r="A307" s="221" t="s">
        <v>1571</v>
      </c>
      <c r="B307" s="83" t="s">
        <v>932</v>
      </c>
      <c r="C307" s="84" t="s">
        <v>1813</v>
      </c>
      <c r="D307" s="79">
        <f>+'Alimentazione CE Costi'!K356</f>
        <v>0</v>
      </c>
      <c r="E307" s="79">
        <f>+'Alimentazione CE Costi'!L356</f>
        <v>0</v>
      </c>
      <c r="F307" s="373"/>
      <c r="G307" s="228"/>
      <c r="H307" s="80"/>
      <c r="J307" s="76"/>
      <c r="L307" s="80"/>
    </row>
    <row r="308" spans="1:12" ht="18.75">
      <c r="A308" s="221"/>
      <c r="B308" s="83" t="s">
        <v>934</v>
      </c>
      <c r="C308" s="84" t="s">
        <v>1814</v>
      </c>
      <c r="D308" s="79">
        <f>+'Alimentazione CE Costi'!K358+'Alimentazione CE Costi'!K361+'Alimentazione CE Costi'!K359+'Alimentazione CE Costi'!K360</f>
        <v>930897.64</v>
      </c>
      <c r="E308" s="79">
        <f>+'Alimentazione CE Costi'!L358+'Alimentazione CE Costi'!L361+'Alimentazione CE Costi'!L359+'Alimentazione CE Costi'!L360</f>
        <v>658928.52</v>
      </c>
      <c r="F308" s="373"/>
      <c r="G308" s="228"/>
      <c r="H308" s="80"/>
      <c r="J308" s="76"/>
      <c r="L308" s="80"/>
    </row>
    <row r="309" spans="1:12" ht="18.75">
      <c r="A309" s="219"/>
      <c r="B309" s="83" t="s">
        <v>937</v>
      </c>
      <c r="C309" s="84" t="s">
        <v>1815</v>
      </c>
      <c r="D309" s="79">
        <f>+'Alimentazione CE Costi'!K362</f>
        <v>0</v>
      </c>
      <c r="E309" s="79">
        <f>+'Alimentazione CE Costi'!L362</f>
        <v>0</v>
      </c>
      <c r="F309" s="65"/>
      <c r="G309" s="228"/>
      <c r="H309" s="80"/>
      <c r="J309" s="76"/>
      <c r="L309" s="80"/>
    </row>
    <row r="310" spans="1:12" ht="18.75">
      <c r="A310" s="219" t="s">
        <v>1522</v>
      </c>
      <c r="B310" s="83" t="s">
        <v>939</v>
      </c>
      <c r="C310" s="84" t="s">
        <v>1816</v>
      </c>
      <c r="D310" s="79">
        <f>+'Alimentazione CE Costi'!K363</f>
        <v>0</v>
      </c>
      <c r="E310" s="79">
        <f>+'Alimentazione CE Costi'!L363</f>
        <v>0</v>
      </c>
      <c r="F310" s="65"/>
      <c r="G310" s="228"/>
      <c r="H310" s="80"/>
      <c r="J310" s="76"/>
      <c r="L310" s="80"/>
    </row>
    <row r="311" spans="1:12" ht="18.75">
      <c r="A311" s="219" t="s">
        <v>1571</v>
      </c>
      <c r="B311" s="83" t="s">
        <v>941</v>
      </c>
      <c r="C311" s="84" t="s">
        <v>1817</v>
      </c>
      <c r="D311" s="79">
        <f>+'Alimentazione CE Costi'!K364</f>
        <v>0</v>
      </c>
      <c r="E311" s="79">
        <f>+'Alimentazione CE Costi'!L364</f>
        <v>0</v>
      </c>
      <c r="F311" s="65"/>
      <c r="G311" s="228"/>
      <c r="H311" s="80"/>
      <c r="J311" s="76"/>
      <c r="L311" s="80"/>
    </row>
    <row r="312" spans="1:12" ht="18.75">
      <c r="A312" s="222" t="s">
        <v>1567</v>
      </c>
      <c r="B312" s="81" t="s">
        <v>942</v>
      </c>
      <c r="C312" s="82" t="s">
        <v>1818</v>
      </c>
      <c r="D312" s="79">
        <f>+'Alimentazione CE Costi'!K365</f>
        <v>0</v>
      </c>
      <c r="E312" s="79">
        <f>+'Alimentazione CE Costi'!L365</f>
        <v>0</v>
      </c>
      <c r="F312" s="65"/>
      <c r="G312" s="228"/>
      <c r="H312" s="80"/>
      <c r="J312" s="76"/>
      <c r="L312" s="80"/>
    </row>
    <row r="313" spans="1:12" ht="18.75">
      <c r="A313" s="219"/>
      <c r="B313" s="106" t="s">
        <v>944</v>
      </c>
      <c r="C313" s="107" t="s">
        <v>1819</v>
      </c>
      <c r="D313" s="105">
        <f t="shared" ref="D313:E313" si="60">+D314+D334+D348</f>
        <v>10997531.440000001</v>
      </c>
      <c r="E313" s="105">
        <f t="shared" si="60"/>
        <v>12444029.370000001</v>
      </c>
      <c r="F313" s="65" t="s">
        <v>2110</v>
      </c>
      <c r="G313" s="228"/>
      <c r="H313" s="80"/>
      <c r="J313" s="76"/>
      <c r="L313" s="80"/>
    </row>
    <row r="314" spans="1:12" ht="18.75">
      <c r="A314" s="219"/>
      <c r="B314" s="132" t="s">
        <v>946</v>
      </c>
      <c r="C314" s="133" t="s">
        <v>1820</v>
      </c>
      <c r="D314" s="119">
        <f t="shared" ref="D314:E314" si="61">+D315+D316+D317+D320+D321+D322+D323+D324+D325+D326+D327+D330</f>
        <v>10558136.770000001</v>
      </c>
      <c r="E314" s="119">
        <f t="shared" si="61"/>
        <v>11612903.99</v>
      </c>
      <c r="F314" s="65" t="s">
        <v>2110</v>
      </c>
      <c r="G314" s="228"/>
      <c r="H314" s="80"/>
      <c r="J314" s="76"/>
      <c r="L314" s="80"/>
    </row>
    <row r="315" spans="1:12" ht="18.75">
      <c r="A315" s="219"/>
      <c r="B315" s="83" t="s">
        <v>948</v>
      </c>
      <c r="C315" s="84" t="s">
        <v>1821</v>
      </c>
      <c r="D315" s="79">
        <f>+'Alimentazione CE Costi'!K368</f>
        <v>617689.86</v>
      </c>
      <c r="E315" s="79">
        <f>+'Alimentazione CE Costi'!L368</f>
        <v>684825.72</v>
      </c>
      <c r="F315" s="65"/>
      <c r="G315" s="228"/>
      <c r="H315" s="80"/>
      <c r="J315" s="76"/>
      <c r="L315" s="80"/>
    </row>
    <row r="316" spans="1:12" ht="18.75">
      <c r="A316" s="219"/>
      <c r="B316" s="83" t="s">
        <v>950</v>
      </c>
      <c r="C316" s="84" t="s">
        <v>1822</v>
      </c>
      <c r="D316" s="79">
        <f>+'Alimentazione CE Costi'!K369</f>
        <v>1826415.35</v>
      </c>
      <c r="E316" s="79">
        <f>+'Alimentazione CE Costi'!L369</f>
        <v>1732653.6</v>
      </c>
      <c r="F316" s="65"/>
      <c r="G316" s="228"/>
      <c r="H316" s="80"/>
      <c r="J316" s="76"/>
      <c r="L316" s="80"/>
    </row>
    <row r="317" spans="1:12" ht="18.75">
      <c r="A317" s="219"/>
      <c r="B317" s="123" t="s">
        <v>952</v>
      </c>
      <c r="C317" s="124" t="s">
        <v>1823</v>
      </c>
      <c r="D317" s="122">
        <f t="shared" ref="D317:E317" si="62">+D318+D319</f>
        <v>908515.81</v>
      </c>
      <c r="E317" s="122">
        <f t="shared" si="62"/>
        <v>814586.21</v>
      </c>
      <c r="F317" s="65" t="s">
        <v>2110</v>
      </c>
      <c r="G317" s="228"/>
      <c r="H317" s="80"/>
      <c r="J317" s="76"/>
      <c r="L317" s="80"/>
    </row>
    <row r="318" spans="1:12" ht="18.75">
      <c r="A318" s="219"/>
      <c r="B318" s="83" t="s">
        <v>954</v>
      </c>
      <c r="C318" s="84" t="s">
        <v>1824</v>
      </c>
      <c r="D318" s="79">
        <f>+'Alimentazione CE Costi'!K371</f>
        <v>190472.07</v>
      </c>
      <c r="E318" s="79">
        <f>+'Alimentazione CE Costi'!L371</f>
        <v>177927.72</v>
      </c>
      <c r="F318" s="65"/>
      <c r="G318" s="228"/>
      <c r="H318" s="80"/>
      <c r="J318" s="76"/>
      <c r="L318" s="80"/>
    </row>
    <row r="319" spans="1:12" ht="18.75">
      <c r="A319" s="219"/>
      <c r="B319" s="83" t="s">
        <v>956</v>
      </c>
      <c r="C319" s="84" t="s">
        <v>1825</v>
      </c>
      <c r="D319" s="79">
        <f>+'Alimentazione CE Costi'!K372</f>
        <v>718043.74</v>
      </c>
      <c r="E319" s="79">
        <f>+'Alimentazione CE Costi'!L372</f>
        <v>636658.49</v>
      </c>
      <c r="F319" s="65"/>
      <c r="G319" s="228"/>
      <c r="H319" s="80"/>
      <c r="J319" s="76"/>
      <c r="L319" s="80"/>
    </row>
    <row r="320" spans="1:12" ht="18.75">
      <c r="A320" s="219"/>
      <c r="B320" s="83" t="s">
        <v>958</v>
      </c>
      <c r="C320" s="84" t="s">
        <v>1826</v>
      </c>
      <c r="D320" s="79">
        <f>+'Alimentazione CE Costi'!K373</f>
        <v>1917050.62</v>
      </c>
      <c r="E320" s="79">
        <f>+'Alimentazione CE Costi'!L373</f>
        <v>2571913.54</v>
      </c>
      <c r="F320" s="65"/>
      <c r="G320" s="228"/>
      <c r="H320" s="80"/>
      <c r="J320" s="76"/>
      <c r="L320" s="80"/>
    </row>
    <row r="321" spans="1:12" ht="18.75">
      <c r="A321" s="219"/>
      <c r="B321" s="83" t="s">
        <v>960</v>
      </c>
      <c r="C321" s="84" t="s">
        <v>1827</v>
      </c>
      <c r="D321" s="79">
        <f>+'Alimentazione CE Costi'!K375+'Alimentazione CE Costi'!K376+'Alimentazione CE Costi'!K377</f>
        <v>0</v>
      </c>
      <c r="E321" s="79">
        <f>+'Alimentazione CE Costi'!L375+'Alimentazione CE Costi'!L376+'Alimentazione CE Costi'!L377</f>
        <v>0</v>
      </c>
      <c r="F321" s="65"/>
      <c r="G321" s="228"/>
      <c r="H321" s="80"/>
      <c r="J321" s="76"/>
      <c r="L321" s="80"/>
    </row>
    <row r="322" spans="1:12" ht="18.75">
      <c r="A322" s="219"/>
      <c r="B322" s="83" t="s">
        <v>965</v>
      </c>
      <c r="C322" s="84" t="s">
        <v>1828</v>
      </c>
      <c r="D322" s="79">
        <f>+'Alimentazione CE Costi'!K378</f>
        <v>255275.58</v>
      </c>
      <c r="E322" s="79">
        <f>+'Alimentazione CE Costi'!L378</f>
        <v>293542.8</v>
      </c>
      <c r="F322" s="65"/>
      <c r="G322" s="228"/>
      <c r="H322" s="80"/>
      <c r="J322" s="76"/>
      <c r="L322" s="80"/>
    </row>
    <row r="323" spans="1:12" ht="18.75">
      <c r="A323" s="219"/>
      <c r="B323" s="83" t="s">
        <v>967</v>
      </c>
      <c r="C323" s="84" t="s">
        <v>1829</v>
      </c>
      <c r="D323" s="79">
        <f>+'Alimentazione CE Costi'!K379</f>
        <v>441958.45</v>
      </c>
      <c r="E323" s="79">
        <f>+'Alimentazione CE Costi'!L379</f>
        <v>314641.71000000002</v>
      </c>
      <c r="F323" s="65"/>
      <c r="G323" s="228"/>
      <c r="H323" s="80"/>
      <c r="J323" s="76"/>
      <c r="L323" s="80"/>
    </row>
    <row r="324" spans="1:12" ht="18.75">
      <c r="A324" s="219"/>
      <c r="B324" s="83" t="s">
        <v>969</v>
      </c>
      <c r="C324" s="84" t="s">
        <v>1830</v>
      </c>
      <c r="D324" s="79">
        <f>+'Alimentazione CE Costi'!K381+'Alimentazione CE Costi'!K382</f>
        <v>93309.84</v>
      </c>
      <c r="E324" s="79">
        <f>+'Alimentazione CE Costi'!L381+'Alimentazione CE Costi'!L382</f>
        <v>98809.14</v>
      </c>
      <c r="F324" s="65"/>
      <c r="G324" s="228"/>
      <c r="H324" s="80"/>
      <c r="J324" s="76"/>
      <c r="L324" s="80"/>
    </row>
    <row r="325" spans="1:12" ht="18.75">
      <c r="A325" s="219"/>
      <c r="B325" s="83" t="s">
        <v>973</v>
      </c>
      <c r="C325" s="84" t="s">
        <v>1831</v>
      </c>
      <c r="D325" s="79">
        <f>+'Alimentazione CE Costi'!K383</f>
        <v>821973.29</v>
      </c>
      <c r="E325" s="79">
        <f>+'Alimentazione CE Costi'!L383</f>
        <v>1521832.83</v>
      </c>
      <c r="F325" s="65"/>
      <c r="G325" s="228"/>
      <c r="H325" s="80"/>
      <c r="J325" s="76"/>
      <c r="L325" s="80"/>
    </row>
    <row r="326" spans="1:12" ht="18.75">
      <c r="A326" s="219"/>
      <c r="B326" s="83" t="s">
        <v>975</v>
      </c>
      <c r="C326" s="84" t="s">
        <v>1832</v>
      </c>
      <c r="D326" s="79">
        <f>+ROUND(SUM('Alimentazione CE Costi'!K385:K389),2)</f>
        <v>282392.24</v>
      </c>
      <c r="E326" s="79">
        <f>+ROUND(SUM('Alimentazione CE Costi'!L385:L389),2)</f>
        <v>238775.28</v>
      </c>
      <c r="F326" s="65"/>
      <c r="G326" s="228"/>
      <c r="H326" s="80"/>
      <c r="J326" s="76"/>
      <c r="L326" s="80"/>
    </row>
    <row r="327" spans="1:12" ht="18.75">
      <c r="A327" s="219"/>
      <c r="B327" s="123" t="s">
        <v>981</v>
      </c>
      <c r="C327" s="124" t="s">
        <v>1833</v>
      </c>
      <c r="D327" s="122">
        <f t="shared" ref="D327:E327" si="63">+D328+D329</f>
        <v>66448.98</v>
      </c>
      <c r="E327" s="122">
        <f t="shared" si="63"/>
        <v>90734.9</v>
      </c>
      <c r="F327" s="65" t="s">
        <v>2110</v>
      </c>
      <c r="G327" s="228"/>
      <c r="H327" s="80"/>
      <c r="J327" s="76"/>
      <c r="L327" s="80"/>
    </row>
    <row r="328" spans="1:12" ht="18.75">
      <c r="A328" s="219"/>
      <c r="B328" s="85" t="s">
        <v>983</v>
      </c>
      <c r="C328" s="86" t="s">
        <v>1834</v>
      </c>
      <c r="D328" s="79">
        <f>+'Alimentazione CE Costi'!K391</f>
        <v>0</v>
      </c>
      <c r="E328" s="79">
        <f>+'Alimentazione CE Costi'!L391</f>
        <v>0</v>
      </c>
      <c r="F328" s="65"/>
      <c r="G328" s="228"/>
      <c r="H328" s="93"/>
      <c r="J328" s="76"/>
      <c r="L328" s="80"/>
    </row>
    <row r="329" spans="1:12" ht="18.75">
      <c r="A329" s="219"/>
      <c r="B329" s="85" t="s">
        <v>985</v>
      </c>
      <c r="C329" s="86" t="s">
        <v>1835</v>
      </c>
      <c r="D329" s="79">
        <f>+'Alimentazione CE Costi'!K392</f>
        <v>66448.98</v>
      </c>
      <c r="E329" s="79">
        <f>+'Alimentazione CE Costi'!L392</f>
        <v>90734.9</v>
      </c>
      <c r="F329" s="65"/>
      <c r="G329" s="228"/>
      <c r="H329" s="80"/>
      <c r="J329" s="76"/>
      <c r="L329" s="80"/>
    </row>
    <row r="330" spans="1:12" ht="18.75">
      <c r="A330" s="219"/>
      <c r="B330" s="123" t="s">
        <v>987</v>
      </c>
      <c r="C330" s="124" t="s">
        <v>1836</v>
      </c>
      <c r="D330" s="122">
        <f t="shared" ref="D330:E330" si="64">+D331+D332+D333</f>
        <v>3327106.75</v>
      </c>
      <c r="E330" s="122">
        <f t="shared" si="64"/>
        <v>3250588.26</v>
      </c>
      <c r="F330" s="65" t="s">
        <v>2110</v>
      </c>
      <c r="G330" s="228"/>
      <c r="H330" s="80"/>
      <c r="J330" s="76"/>
      <c r="L330" s="80"/>
    </row>
    <row r="331" spans="1:12" ht="18.75">
      <c r="A331" s="219" t="s">
        <v>1522</v>
      </c>
      <c r="B331" s="85" t="s">
        <v>989</v>
      </c>
      <c r="C331" s="86" t="s">
        <v>1837</v>
      </c>
      <c r="D331" s="79">
        <f>+'Alimentazione CE Costi'!K394</f>
        <v>246521.57</v>
      </c>
      <c r="E331" s="79">
        <f>+'Alimentazione CE Costi'!L394</f>
        <v>496353</v>
      </c>
      <c r="F331" s="65"/>
      <c r="G331" s="228"/>
      <c r="H331" s="80"/>
      <c r="J331" s="76"/>
      <c r="L331" s="80"/>
    </row>
    <row r="332" spans="1:12" ht="18.75">
      <c r="A332" s="219"/>
      <c r="B332" s="85" t="s">
        <v>991</v>
      </c>
      <c r="C332" s="86" t="s">
        <v>1838</v>
      </c>
      <c r="D332" s="79">
        <f>+'Alimentazione CE Costi'!K396+'Alimentazione CE Costi'!K397</f>
        <v>2561.9899999999998</v>
      </c>
      <c r="E332" s="79">
        <f>+'Alimentazione CE Costi'!L396+'Alimentazione CE Costi'!L397</f>
        <v>0</v>
      </c>
      <c r="F332" s="65"/>
      <c r="G332" s="228"/>
      <c r="H332" s="80"/>
      <c r="J332" s="76"/>
      <c r="L332" s="80"/>
    </row>
    <row r="333" spans="1:12" ht="18.75">
      <c r="A333" s="219"/>
      <c r="B333" s="85" t="s">
        <v>995</v>
      </c>
      <c r="C333" s="86" t="s">
        <v>1839</v>
      </c>
      <c r="D333" s="79">
        <f>+ROUND(SUM('Alimentazione CE Costi'!K399:K413),2)</f>
        <v>3078023.19</v>
      </c>
      <c r="E333" s="79">
        <f>+ROUND(SUM('Alimentazione CE Costi'!L399:L413),2)</f>
        <v>2754235.26</v>
      </c>
      <c r="F333" s="65"/>
      <c r="G333" s="228"/>
      <c r="H333" s="80"/>
      <c r="J333" s="76"/>
      <c r="L333" s="80"/>
    </row>
    <row r="334" spans="1:12" ht="18.75">
      <c r="A334" s="219"/>
      <c r="B334" s="132" t="s">
        <v>1011</v>
      </c>
      <c r="C334" s="133" t="s">
        <v>1840</v>
      </c>
      <c r="D334" s="119">
        <f t="shared" ref="D334:E334" si="65">+D335+D336+D337+D344</f>
        <v>328653.03999999998</v>
      </c>
      <c r="E334" s="119">
        <f t="shared" si="65"/>
        <v>728017.15000000014</v>
      </c>
      <c r="F334" s="65" t="s">
        <v>2110</v>
      </c>
      <c r="G334" s="228"/>
      <c r="H334" s="80"/>
      <c r="J334" s="76"/>
      <c r="L334" s="80"/>
    </row>
    <row r="335" spans="1:12" ht="18.75">
      <c r="A335" s="219" t="s">
        <v>1522</v>
      </c>
      <c r="B335" s="83" t="s">
        <v>1013</v>
      </c>
      <c r="C335" s="84" t="s">
        <v>1841</v>
      </c>
      <c r="D335" s="79">
        <f>+'Alimentazione CE Costi'!K415</f>
        <v>11980.87</v>
      </c>
      <c r="E335" s="79">
        <f>+'Alimentazione CE Costi'!L415</f>
        <v>37556.639999999999</v>
      </c>
      <c r="F335" s="65"/>
      <c r="G335" s="228"/>
      <c r="H335" s="80"/>
      <c r="J335" s="76"/>
      <c r="L335" s="80"/>
    </row>
    <row r="336" spans="1:12" ht="18.75">
      <c r="A336" s="219"/>
      <c r="B336" s="83" t="s">
        <v>1015</v>
      </c>
      <c r="C336" s="84" t="s">
        <v>1842</v>
      </c>
      <c r="D336" s="79">
        <f>+'Alimentazione CE Costi'!K416</f>
        <v>0</v>
      </c>
      <c r="E336" s="79">
        <f>+'Alimentazione CE Costi'!L416</f>
        <v>0</v>
      </c>
      <c r="F336" s="65"/>
      <c r="G336" s="228"/>
      <c r="H336" s="80"/>
      <c r="J336" s="76"/>
      <c r="L336" s="80"/>
    </row>
    <row r="337" spans="1:12" ht="18.75">
      <c r="A337" s="219"/>
      <c r="B337" s="123" t="s">
        <v>1017</v>
      </c>
      <c r="C337" s="124" t="s">
        <v>1843</v>
      </c>
      <c r="D337" s="122">
        <f t="shared" ref="D337:E337" si="66">SUM(D338:D343)</f>
        <v>316672.17</v>
      </c>
      <c r="E337" s="122">
        <f t="shared" si="66"/>
        <v>672582.95000000007</v>
      </c>
      <c r="F337" s="65" t="s">
        <v>2110</v>
      </c>
      <c r="G337" s="228"/>
      <c r="H337" s="80"/>
      <c r="J337" s="76"/>
      <c r="L337" s="80"/>
    </row>
    <row r="338" spans="1:12" ht="18.75">
      <c r="A338" s="219"/>
      <c r="B338" s="85" t="s">
        <v>1019</v>
      </c>
      <c r="C338" s="86" t="s">
        <v>1844</v>
      </c>
      <c r="D338" s="79">
        <f>+'Alimentazione CE Costi'!K419+'Alimentazione CE Costi'!K420+'Alimentazione CE Costi'!K421+'Alimentazione CE Costi'!K422+'Alimentazione CE Costi'!K423</f>
        <v>8664.41</v>
      </c>
      <c r="E338" s="79">
        <f>+'Alimentazione CE Costi'!L419+'Alimentazione CE Costi'!L420+'Alimentazione CE Costi'!L421+'Alimentazione CE Costi'!L422+'Alimentazione CE Costi'!L423</f>
        <v>8966.81</v>
      </c>
      <c r="F338" s="65"/>
      <c r="G338" s="228"/>
      <c r="H338" s="80"/>
      <c r="J338" s="76"/>
      <c r="L338" s="80"/>
    </row>
    <row r="339" spans="1:12" ht="18.75">
      <c r="A339" s="219"/>
      <c r="B339" s="85" t="s">
        <v>1026</v>
      </c>
      <c r="C339" s="86" t="s">
        <v>1845</v>
      </c>
      <c r="D339" s="79">
        <f>+'Alimentazione CE Costi'!K424</f>
        <v>0</v>
      </c>
      <c r="E339" s="79">
        <f>+'Alimentazione CE Costi'!L424</f>
        <v>0</v>
      </c>
      <c r="F339" s="65"/>
      <c r="G339" s="228"/>
      <c r="H339" s="80"/>
      <c r="J339" s="76"/>
      <c r="L339" s="80"/>
    </row>
    <row r="340" spans="1:12" ht="18.75">
      <c r="A340" s="219"/>
      <c r="B340" s="85" t="s">
        <v>1028</v>
      </c>
      <c r="C340" s="86" t="s">
        <v>1846</v>
      </c>
      <c r="D340" s="79">
        <f>+'Alimentazione CE Costi'!K425</f>
        <v>0</v>
      </c>
      <c r="E340" s="79">
        <f>+'Alimentazione CE Costi'!L425</f>
        <v>0</v>
      </c>
      <c r="F340" s="65"/>
      <c r="G340" s="228"/>
      <c r="H340" s="80"/>
      <c r="J340" s="76"/>
      <c r="L340" s="80"/>
    </row>
    <row r="341" spans="1:12" ht="18.75">
      <c r="A341" s="219"/>
      <c r="B341" s="85" t="s">
        <v>1030</v>
      </c>
      <c r="C341" s="86" t="s">
        <v>1847</v>
      </c>
      <c r="D341" s="79">
        <f>+'Alimentazione CE Costi'!K426</f>
        <v>278211.52</v>
      </c>
      <c r="E341" s="79">
        <f>+'Alimentazione CE Costi'!L426</f>
        <v>621636.24</v>
      </c>
      <c r="F341" s="65"/>
      <c r="G341" s="228"/>
      <c r="H341" s="80"/>
      <c r="J341" s="76"/>
      <c r="L341" s="80"/>
    </row>
    <row r="342" spans="1:12" ht="18.75">
      <c r="A342" s="219"/>
      <c r="B342" s="85" t="s">
        <v>1032</v>
      </c>
      <c r="C342" s="86" t="s">
        <v>1848</v>
      </c>
      <c r="D342" s="89">
        <f>+SUM('Alimentazione CE Costi'!K428:K432)</f>
        <v>29796.240000000002</v>
      </c>
      <c r="E342" s="89">
        <f>+SUM('Alimentazione CE Costi'!L428:L432)</f>
        <v>41979.9</v>
      </c>
      <c r="F342" s="65"/>
      <c r="G342" s="228"/>
      <c r="H342" s="80"/>
      <c r="J342" s="76"/>
      <c r="L342" s="80"/>
    </row>
    <row r="343" spans="1:12" ht="25.5">
      <c r="A343" s="219"/>
      <c r="B343" s="85" t="s">
        <v>1038</v>
      </c>
      <c r="C343" s="86" t="s">
        <v>1849</v>
      </c>
      <c r="D343" s="79">
        <f>+'Alimentazione CE Costi'!K433</f>
        <v>0</v>
      </c>
      <c r="E343" s="79">
        <f>+'Alimentazione CE Costi'!L433</f>
        <v>0</v>
      </c>
      <c r="F343" s="65"/>
      <c r="G343" s="228"/>
      <c r="H343" s="80"/>
      <c r="J343" s="76"/>
      <c r="L343" s="80"/>
    </row>
    <row r="344" spans="1:12" ht="18.75">
      <c r="A344" s="219"/>
      <c r="B344" s="123" t="s">
        <v>1040</v>
      </c>
      <c r="C344" s="124" t="s">
        <v>1850</v>
      </c>
      <c r="D344" s="122">
        <f t="shared" ref="D344:E344" si="67">SUM(D345:D347)</f>
        <v>0</v>
      </c>
      <c r="E344" s="122">
        <f t="shared" si="67"/>
        <v>17877.559999999998</v>
      </c>
      <c r="F344" s="65" t="s">
        <v>2110</v>
      </c>
      <c r="G344" s="228"/>
      <c r="H344" s="80"/>
      <c r="J344" s="76"/>
      <c r="L344" s="80"/>
    </row>
    <row r="345" spans="1:12" ht="25.5">
      <c r="A345" s="219" t="s">
        <v>1522</v>
      </c>
      <c r="B345" s="85" t="s">
        <v>1042</v>
      </c>
      <c r="C345" s="86" t="s">
        <v>1851</v>
      </c>
      <c r="D345" s="79">
        <f>+'Alimentazione CE Costi'!K435</f>
        <v>0</v>
      </c>
      <c r="E345" s="79">
        <f>+'Alimentazione CE Costi'!L435</f>
        <v>7321.16</v>
      </c>
      <c r="F345" s="65"/>
      <c r="G345" s="228"/>
      <c r="H345" s="80"/>
      <c r="J345" s="76"/>
      <c r="L345" s="80"/>
    </row>
    <row r="346" spans="1:12" ht="25.5">
      <c r="A346" s="219"/>
      <c r="B346" s="85" t="s">
        <v>1044</v>
      </c>
      <c r="C346" s="86" t="s">
        <v>1852</v>
      </c>
      <c r="D346" s="79">
        <f>+'Alimentazione CE Costi'!K436</f>
        <v>0</v>
      </c>
      <c r="E346" s="79">
        <f>+'Alimentazione CE Costi'!L436</f>
        <v>10556.4</v>
      </c>
      <c r="F346" s="65"/>
      <c r="G346" s="228"/>
      <c r="H346" s="80"/>
      <c r="J346" s="76"/>
      <c r="L346" s="80"/>
    </row>
    <row r="347" spans="1:12" ht="25.5">
      <c r="A347" s="219" t="s">
        <v>1571</v>
      </c>
      <c r="B347" s="85" t="s">
        <v>1046</v>
      </c>
      <c r="C347" s="86" t="s">
        <v>1853</v>
      </c>
      <c r="D347" s="79">
        <f>+'Alimentazione CE Costi'!K437</f>
        <v>0</v>
      </c>
      <c r="E347" s="79">
        <f>+'Alimentazione CE Costi'!L437</f>
        <v>0</v>
      </c>
      <c r="F347" s="65"/>
      <c r="G347" s="228"/>
      <c r="H347" s="80"/>
      <c r="J347" s="76"/>
      <c r="L347" s="80"/>
    </row>
    <row r="348" spans="1:12" ht="18.75">
      <c r="A348" s="219"/>
      <c r="B348" s="132" t="s">
        <v>1048</v>
      </c>
      <c r="C348" s="133" t="s">
        <v>1854</v>
      </c>
      <c r="D348" s="119">
        <f t="shared" ref="D348:E348" si="68">+D349+D350</f>
        <v>110741.63</v>
      </c>
      <c r="E348" s="119">
        <f t="shared" si="68"/>
        <v>103108.23</v>
      </c>
      <c r="F348" s="65" t="s">
        <v>2110</v>
      </c>
      <c r="G348" s="228"/>
      <c r="H348" s="80"/>
      <c r="J348" s="76"/>
      <c r="L348" s="80"/>
    </row>
    <row r="349" spans="1:12" ht="18.75">
      <c r="A349" s="219"/>
      <c r="B349" s="83" t="s">
        <v>1050</v>
      </c>
      <c r="C349" s="84" t="s">
        <v>1855</v>
      </c>
      <c r="D349" s="79">
        <f>+'Alimentazione CE Costi'!K439</f>
        <v>2291.5700000000002</v>
      </c>
      <c r="E349" s="79">
        <f>+'Alimentazione CE Costi'!L439</f>
        <v>6378.3</v>
      </c>
      <c r="F349" s="65"/>
      <c r="G349" s="228"/>
      <c r="H349" s="80"/>
      <c r="J349" s="76"/>
      <c r="L349" s="80"/>
    </row>
    <row r="350" spans="1:12" ht="18.75">
      <c r="A350" s="219"/>
      <c r="B350" s="83" t="s">
        <v>1052</v>
      </c>
      <c r="C350" s="84" t="s">
        <v>1856</v>
      </c>
      <c r="D350" s="79">
        <f>+'Alimentazione CE Costi'!K440</f>
        <v>108450.06</v>
      </c>
      <c r="E350" s="79">
        <f>+'Alimentazione CE Costi'!L440</f>
        <v>96729.93</v>
      </c>
      <c r="F350" s="65"/>
      <c r="G350" s="228"/>
      <c r="H350" s="80"/>
      <c r="J350" s="76"/>
      <c r="L350" s="80"/>
    </row>
    <row r="351" spans="1:12" ht="18.75">
      <c r="A351" s="219"/>
      <c r="B351" s="111" t="s">
        <v>1857</v>
      </c>
      <c r="C351" s="112" t="s">
        <v>1858</v>
      </c>
      <c r="D351" s="113">
        <f t="shared" ref="D351:E351" si="69">SUM(D352:D358)</f>
        <v>1961873.3699999999</v>
      </c>
      <c r="E351" s="113">
        <f t="shared" si="69"/>
        <v>1922652.78</v>
      </c>
      <c r="F351" s="65" t="s">
        <v>2110</v>
      </c>
      <c r="G351" s="228"/>
      <c r="H351" s="80"/>
      <c r="J351" s="76"/>
      <c r="L351" s="80"/>
    </row>
    <row r="352" spans="1:12" ht="18.75">
      <c r="A352" s="219"/>
      <c r="B352" s="81" t="s">
        <v>1055</v>
      </c>
      <c r="C352" s="82" t="s">
        <v>1859</v>
      </c>
      <c r="D352" s="79">
        <f>+'Alimentazione CE Costi'!K442</f>
        <v>63376.480000000003</v>
      </c>
      <c r="E352" s="79">
        <f>+'Alimentazione CE Costi'!L442</f>
        <v>58945.05</v>
      </c>
      <c r="F352" s="65"/>
      <c r="G352" s="228"/>
      <c r="H352" s="80"/>
      <c r="J352" s="76"/>
      <c r="L352" s="80"/>
    </row>
    <row r="353" spans="1:12" ht="18.75">
      <c r="A353" s="219"/>
      <c r="B353" s="81" t="s">
        <v>1057</v>
      </c>
      <c r="C353" s="82" t="s">
        <v>1860</v>
      </c>
      <c r="D353" s="79">
        <f>+'Alimentazione CE Costi'!K444+'Alimentazione CE Costi'!K445+'Alimentazione CE Costi'!K446</f>
        <v>209380.94</v>
      </c>
      <c r="E353" s="79">
        <f>+'Alimentazione CE Costi'!L444+'Alimentazione CE Costi'!L445+'Alimentazione CE Costi'!L446</f>
        <v>210030.54</v>
      </c>
      <c r="F353" s="65"/>
      <c r="G353" s="228"/>
      <c r="H353" s="80"/>
      <c r="J353" s="76"/>
      <c r="L353" s="80"/>
    </row>
    <row r="354" spans="1:12" ht="18.75">
      <c r="A354" s="219"/>
      <c r="B354" s="81" t="s">
        <v>1062</v>
      </c>
      <c r="C354" s="82" t="s">
        <v>1861</v>
      </c>
      <c r="D354" s="79">
        <f>+'Alimentazione CE Costi'!K447</f>
        <v>1592762.72</v>
      </c>
      <c r="E354" s="79">
        <f>+'Alimentazione CE Costi'!L447</f>
        <v>1524372.99</v>
      </c>
      <c r="F354" s="65"/>
      <c r="G354" s="228"/>
      <c r="H354" s="80"/>
      <c r="J354" s="76"/>
      <c r="L354" s="80"/>
    </row>
    <row r="355" spans="1:12" ht="18.75">
      <c r="A355" s="219"/>
      <c r="B355" s="81" t="s">
        <v>1064</v>
      </c>
      <c r="C355" s="82" t="s">
        <v>1862</v>
      </c>
      <c r="D355" s="79">
        <f>+'Alimentazione CE Costi'!K448</f>
        <v>0</v>
      </c>
      <c r="E355" s="79">
        <f>+'Alimentazione CE Costi'!L448</f>
        <v>0</v>
      </c>
      <c r="F355" s="65"/>
      <c r="G355" s="228"/>
      <c r="H355" s="80"/>
      <c r="J355" s="76"/>
      <c r="L355" s="80"/>
    </row>
    <row r="356" spans="1:12" ht="18.75">
      <c r="A356" s="219"/>
      <c r="B356" s="81" t="s">
        <v>1066</v>
      </c>
      <c r="C356" s="82" t="s">
        <v>1863</v>
      </c>
      <c r="D356" s="79">
        <f>+'Alimentazione CE Costi'!K449</f>
        <v>2680.02</v>
      </c>
      <c r="E356" s="79">
        <f>+'Alimentazione CE Costi'!L449</f>
        <v>1159.01</v>
      </c>
      <c r="F356" s="65"/>
      <c r="G356" s="228"/>
      <c r="H356" s="80"/>
      <c r="J356" s="76"/>
      <c r="L356" s="80"/>
    </row>
    <row r="357" spans="1:12" ht="18.75">
      <c r="A357" s="219"/>
      <c r="B357" s="81" t="s">
        <v>1068</v>
      </c>
      <c r="C357" s="82" t="s">
        <v>1864</v>
      </c>
      <c r="D357" s="79">
        <f>+'Alimentazione CE Costi'!K451+'Alimentazione CE Costi'!K452+'Alimentazione CE Costi'!K453</f>
        <v>93673.209999999992</v>
      </c>
      <c r="E357" s="79">
        <f>+'Alimentazione CE Costi'!L451+'Alimentazione CE Costi'!L452+'Alimentazione CE Costi'!L453</f>
        <v>128145.19</v>
      </c>
      <c r="F357" s="65"/>
      <c r="G357" s="228"/>
      <c r="H357" s="80"/>
      <c r="J357" s="76"/>
      <c r="L357" s="80"/>
    </row>
    <row r="358" spans="1:12" ht="18.75">
      <c r="A358" s="225" t="s">
        <v>1522</v>
      </c>
      <c r="B358" s="81" t="s">
        <v>1072</v>
      </c>
      <c r="C358" s="82" t="s">
        <v>1865</v>
      </c>
      <c r="D358" s="79">
        <f>+'Alimentazione CE Costi'!K454</f>
        <v>0</v>
      </c>
      <c r="E358" s="79">
        <f>+'Alimentazione CE Costi'!L454</f>
        <v>0</v>
      </c>
      <c r="F358" s="65"/>
      <c r="G358" s="228"/>
      <c r="H358" s="80"/>
      <c r="J358" s="76"/>
      <c r="L358" s="80"/>
    </row>
    <row r="359" spans="1:12" ht="18.75">
      <c r="A359" s="219"/>
      <c r="B359" s="111" t="s">
        <v>1073</v>
      </c>
      <c r="C359" s="112" t="s">
        <v>1866</v>
      </c>
      <c r="D359" s="113">
        <f t="shared" ref="D359:E359" si="70">+D360+D361+D364+D367+D368</f>
        <v>893937.46000000008</v>
      </c>
      <c r="E359" s="113">
        <f t="shared" si="70"/>
        <v>569257.83000000007</v>
      </c>
      <c r="F359" s="65" t="s">
        <v>2110</v>
      </c>
      <c r="G359" s="228"/>
      <c r="H359" s="80"/>
      <c r="J359" s="76"/>
      <c r="L359" s="80"/>
    </row>
    <row r="360" spans="1:12" ht="18.75">
      <c r="A360" s="219"/>
      <c r="B360" s="81" t="s">
        <v>1075</v>
      </c>
      <c r="C360" s="82" t="s">
        <v>1867</v>
      </c>
      <c r="D360" s="79">
        <f>+'Alimentazione CE Costi'!K457+'Alimentazione CE Costi'!K458</f>
        <v>31507.41</v>
      </c>
      <c r="E360" s="79">
        <f>+'Alimentazione CE Costi'!L457+'Alimentazione CE Costi'!L458</f>
        <v>30810.89</v>
      </c>
      <c r="F360" s="65"/>
      <c r="G360" s="228"/>
      <c r="H360" s="80"/>
      <c r="J360" s="76"/>
      <c r="L360" s="80"/>
    </row>
    <row r="361" spans="1:12" ht="18.75">
      <c r="A361" s="219"/>
      <c r="B361" s="106" t="s">
        <v>1079</v>
      </c>
      <c r="C361" s="107" t="s">
        <v>1868</v>
      </c>
      <c r="D361" s="105">
        <f t="shared" ref="D361:E361" si="71">+D362+D363</f>
        <v>700056.41</v>
      </c>
      <c r="E361" s="105">
        <f t="shared" si="71"/>
        <v>524144.38</v>
      </c>
      <c r="F361" s="65" t="s">
        <v>2110</v>
      </c>
      <c r="G361" s="228"/>
      <c r="H361" s="80"/>
      <c r="J361" s="76"/>
      <c r="L361" s="80"/>
    </row>
    <row r="362" spans="1:12" ht="18.75">
      <c r="A362" s="219"/>
      <c r="B362" s="83" t="s">
        <v>1081</v>
      </c>
      <c r="C362" s="84" t="s">
        <v>1869</v>
      </c>
      <c r="D362" s="79">
        <f>+'Alimentazione CE Costi'!K460</f>
        <v>468002.52</v>
      </c>
      <c r="E362" s="79">
        <f>+'Alimentazione CE Costi'!L460</f>
        <v>293572.21999999997</v>
      </c>
      <c r="F362" s="65"/>
      <c r="G362" s="228"/>
      <c r="H362" s="80"/>
      <c r="J362" s="76"/>
      <c r="L362" s="80"/>
    </row>
    <row r="363" spans="1:12" ht="18.75">
      <c r="A363" s="219"/>
      <c r="B363" s="83" t="s">
        <v>1083</v>
      </c>
      <c r="C363" s="84" t="s">
        <v>1870</v>
      </c>
      <c r="D363" s="79">
        <f>+ROUND(SUM('Alimentazione CE Costi'!K462:K465),2)</f>
        <v>232053.89</v>
      </c>
      <c r="E363" s="79">
        <f>+ROUND(SUM('Alimentazione CE Costi'!L462:L465),2)</f>
        <v>230572.16</v>
      </c>
      <c r="F363" s="65"/>
      <c r="G363" s="228"/>
      <c r="H363" s="80"/>
      <c r="J363" s="76"/>
      <c r="L363" s="80"/>
    </row>
    <row r="364" spans="1:12" ht="18.75">
      <c r="A364" s="219"/>
      <c r="B364" s="106" t="s">
        <v>1089</v>
      </c>
      <c r="C364" s="107" t="s">
        <v>1871</v>
      </c>
      <c r="D364" s="105">
        <f t="shared" ref="D364:E364" si="72">+D365+D366</f>
        <v>36461.42</v>
      </c>
      <c r="E364" s="105">
        <f t="shared" si="72"/>
        <v>14302.56</v>
      </c>
      <c r="F364" s="65" t="s">
        <v>2110</v>
      </c>
      <c r="G364" s="228"/>
      <c r="H364" s="80"/>
      <c r="J364" s="76"/>
      <c r="L364" s="80"/>
    </row>
    <row r="365" spans="1:12" ht="18.75">
      <c r="A365" s="219"/>
      <c r="B365" s="83" t="s">
        <v>1091</v>
      </c>
      <c r="C365" s="84" t="s">
        <v>1872</v>
      </c>
      <c r="D365" s="79">
        <f>+'Alimentazione CE Costi'!K468+'Alimentazione CE Costi'!K469</f>
        <v>36461.42</v>
      </c>
      <c r="E365" s="79">
        <f>+'Alimentazione CE Costi'!L468+'Alimentazione CE Costi'!L469</f>
        <v>14302.56</v>
      </c>
      <c r="F365" s="65"/>
      <c r="G365" s="228"/>
      <c r="H365" s="80"/>
      <c r="J365" s="76"/>
      <c r="L365" s="80"/>
    </row>
    <row r="366" spans="1:12" ht="18.75">
      <c r="A366" s="219"/>
      <c r="B366" s="83" t="s">
        <v>1095</v>
      </c>
      <c r="C366" s="84" t="s">
        <v>1873</v>
      </c>
      <c r="D366" s="79">
        <f>+'Alimentazione CE Costi'!K471+'Alimentazione CE Costi'!K472</f>
        <v>0</v>
      </c>
      <c r="E366" s="79">
        <f>+'Alimentazione CE Costi'!L471+'Alimentazione CE Costi'!L472</f>
        <v>0</v>
      </c>
      <c r="F366" s="65"/>
      <c r="G366" s="228"/>
      <c r="H366" s="80"/>
      <c r="J366" s="76"/>
      <c r="L366" s="80"/>
    </row>
    <row r="367" spans="1:12" ht="18.75">
      <c r="A367" s="221"/>
      <c r="B367" s="81" t="s">
        <v>1097</v>
      </c>
      <c r="C367" s="82" t="s">
        <v>1874</v>
      </c>
      <c r="D367" s="79">
        <f>+'Alimentazione CE Costi'!K473</f>
        <v>125912.22</v>
      </c>
      <c r="E367" s="79">
        <f>+'Alimentazione CE Costi'!L473</f>
        <v>0</v>
      </c>
      <c r="F367" s="373"/>
      <c r="G367" s="228"/>
      <c r="H367" s="80"/>
      <c r="J367" s="76"/>
      <c r="L367" s="80"/>
    </row>
    <row r="368" spans="1:12" ht="18.75">
      <c r="A368" s="226" t="s">
        <v>1522</v>
      </c>
      <c r="B368" s="81" t="s">
        <v>1099</v>
      </c>
      <c r="C368" s="82" t="s">
        <v>1875</v>
      </c>
      <c r="D368" s="79">
        <f>+'Alimentazione CE Costi'!K474</f>
        <v>0</v>
      </c>
      <c r="E368" s="79">
        <f>+'Alimentazione CE Costi'!L474</f>
        <v>0</v>
      </c>
      <c r="F368" s="373"/>
      <c r="G368" s="228"/>
      <c r="H368" s="80"/>
      <c r="J368" s="76"/>
      <c r="L368" s="80"/>
    </row>
    <row r="369" spans="1:12" ht="18.75">
      <c r="A369" s="219"/>
      <c r="B369" s="134" t="s">
        <v>1876</v>
      </c>
      <c r="C369" s="135" t="s">
        <v>1877</v>
      </c>
      <c r="D369" s="136">
        <f t="shared" ref="D369:E369" si="73">+D370+D384+D393+D402</f>
        <v>42971652.400000006</v>
      </c>
      <c r="E369" s="136">
        <f t="shared" si="73"/>
        <v>41842391.849999994</v>
      </c>
      <c r="F369" s="65" t="s">
        <v>2110</v>
      </c>
      <c r="G369" s="228"/>
      <c r="H369" s="80"/>
      <c r="J369" s="76"/>
      <c r="L369" s="80"/>
    </row>
    <row r="370" spans="1:12" ht="18.75">
      <c r="A370" s="219"/>
      <c r="B370" s="111" t="s">
        <v>1101</v>
      </c>
      <c r="C370" s="112" t="s">
        <v>1878</v>
      </c>
      <c r="D370" s="113">
        <f t="shared" ref="D370:E370" si="74">+D371+D380</f>
        <v>35155693.450000003</v>
      </c>
      <c r="E370" s="113">
        <f t="shared" si="74"/>
        <v>34650529.299999997</v>
      </c>
      <c r="F370" s="65" t="s">
        <v>2110</v>
      </c>
      <c r="G370" s="228"/>
      <c r="H370" s="80"/>
      <c r="J370" s="76"/>
      <c r="L370" s="80"/>
    </row>
    <row r="371" spans="1:12" ht="18.75">
      <c r="A371" s="219"/>
      <c r="B371" s="106" t="s">
        <v>1103</v>
      </c>
      <c r="C371" s="107" t="s">
        <v>1879</v>
      </c>
      <c r="D371" s="105">
        <f t="shared" ref="D371:E371" si="75">+D372+D376</f>
        <v>16599905.57</v>
      </c>
      <c r="E371" s="105">
        <f t="shared" si="75"/>
        <v>16498608.9</v>
      </c>
      <c r="F371" s="65" t="s">
        <v>2110</v>
      </c>
      <c r="G371" s="228"/>
      <c r="H371" s="80"/>
      <c r="J371" s="76"/>
      <c r="L371" s="80"/>
    </row>
    <row r="372" spans="1:12" ht="18.75">
      <c r="A372" s="219"/>
      <c r="B372" s="117" t="s">
        <v>1105</v>
      </c>
      <c r="C372" s="118" t="s">
        <v>1880</v>
      </c>
      <c r="D372" s="119">
        <f t="shared" ref="D372:E372" si="76">SUM(D373:D375)</f>
        <v>14740585.109999999</v>
      </c>
      <c r="E372" s="119">
        <f t="shared" si="76"/>
        <v>14806024.08</v>
      </c>
      <c r="F372" s="65" t="s">
        <v>2110</v>
      </c>
      <c r="G372" s="228"/>
      <c r="H372" s="80"/>
      <c r="J372" s="76"/>
      <c r="L372" s="80"/>
    </row>
    <row r="373" spans="1:12" ht="18.75">
      <c r="A373" s="219"/>
      <c r="B373" s="83" t="s">
        <v>1107</v>
      </c>
      <c r="C373" s="84" t="s">
        <v>1881</v>
      </c>
      <c r="D373" s="79">
        <f>+ROUND(SUM('Alimentazione CE Costi'!K479:K490),2)</f>
        <v>13307662.75</v>
      </c>
      <c r="E373" s="79">
        <f>+ROUND(SUM('Alimentazione CE Costi'!L479:L490),2)</f>
        <v>13590443.01</v>
      </c>
      <c r="F373" s="65"/>
      <c r="G373" s="228"/>
      <c r="H373" s="80"/>
      <c r="J373" s="76"/>
      <c r="L373" s="80"/>
    </row>
    <row r="374" spans="1:12" ht="18.75">
      <c r="A374" s="219"/>
      <c r="B374" s="83" t="s">
        <v>1125</v>
      </c>
      <c r="C374" s="84" t="s">
        <v>1882</v>
      </c>
      <c r="D374" s="79">
        <f>+ROUND(SUM('Alimentazione CE Costi'!K492:K503),2)</f>
        <v>1432922.36</v>
      </c>
      <c r="E374" s="79">
        <f>+ROUND(SUM('Alimentazione CE Costi'!L492:L503),2)</f>
        <v>1215581.07</v>
      </c>
      <c r="F374" s="65"/>
      <c r="G374" s="228"/>
      <c r="H374" s="80"/>
      <c r="J374" s="76"/>
      <c r="L374" s="80"/>
    </row>
    <row r="375" spans="1:12" ht="18.75">
      <c r="A375" s="219"/>
      <c r="B375" s="83" t="s">
        <v>1127</v>
      </c>
      <c r="C375" s="84" t="s">
        <v>1883</v>
      </c>
      <c r="D375" s="79">
        <f>+'Alimentazione CE Costi'!K504</f>
        <v>0</v>
      </c>
      <c r="E375" s="79">
        <f>+'Alimentazione CE Costi'!L504</f>
        <v>0</v>
      </c>
      <c r="F375" s="65"/>
      <c r="G375" s="228"/>
      <c r="H375" s="80"/>
      <c r="J375" s="76"/>
      <c r="L375" s="80"/>
    </row>
    <row r="376" spans="1:12" ht="18.75">
      <c r="A376" s="219"/>
      <c r="B376" s="117" t="s">
        <v>1129</v>
      </c>
      <c r="C376" s="118" t="s">
        <v>1884</v>
      </c>
      <c r="D376" s="119">
        <f t="shared" ref="D376:E376" si="77">SUM(D377:D379)</f>
        <v>1859320.46</v>
      </c>
      <c r="E376" s="119">
        <f t="shared" si="77"/>
        <v>1692584.82</v>
      </c>
      <c r="F376" s="65" t="s">
        <v>2110</v>
      </c>
      <c r="G376" s="228"/>
      <c r="H376" s="80"/>
      <c r="J376" s="76"/>
      <c r="L376" s="80"/>
    </row>
    <row r="377" spans="1:12" ht="18.75">
      <c r="A377" s="219"/>
      <c r="B377" s="83" t="s">
        <v>1131</v>
      </c>
      <c r="C377" s="84" t="s">
        <v>1885</v>
      </c>
      <c r="D377" s="79">
        <f>+ROUND(SUM('Alimentazione CE Costi'!K507:K515),2)</f>
        <v>1750163.55</v>
      </c>
      <c r="E377" s="79">
        <f>+ROUND(SUM('Alimentazione CE Costi'!L507:L515),2)</f>
        <v>1611762.37</v>
      </c>
      <c r="F377" s="65"/>
      <c r="G377" s="228"/>
      <c r="H377" s="80"/>
      <c r="J377" s="76"/>
      <c r="L377" s="80"/>
    </row>
    <row r="378" spans="1:12" ht="18.75">
      <c r="A378" s="219"/>
      <c r="B378" s="83" t="s">
        <v>1138</v>
      </c>
      <c r="C378" s="84" t="s">
        <v>1886</v>
      </c>
      <c r="D378" s="79">
        <f>+ROUND(SUM('Alimentazione CE Costi'!K517:K525),2)</f>
        <v>109156.91</v>
      </c>
      <c r="E378" s="79">
        <f>+ROUND(SUM('Alimentazione CE Costi'!L517:L525),2)</f>
        <v>80822.45</v>
      </c>
      <c r="F378" s="65"/>
      <c r="G378" s="228"/>
      <c r="H378" s="80"/>
      <c r="J378" s="76"/>
      <c r="L378" s="80"/>
    </row>
    <row r="379" spans="1:12" ht="18.75">
      <c r="A379" s="219"/>
      <c r="B379" s="83" t="s">
        <v>1139</v>
      </c>
      <c r="C379" s="84" t="s">
        <v>1887</v>
      </c>
      <c r="D379" s="79">
        <f>+'Alimentazione CE Costi'!K526</f>
        <v>0</v>
      </c>
      <c r="E379" s="79">
        <f>+'Alimentazione CE Costi'!L526</f>
        <v>0</v>
      </c>
      <c r="F379" s="65"/>
      <c r="G379" s="228"/>
      <c r="H379" s="80"/>
      <c r="J379" s="76"/>
      <c r="L379" s="80"/>
    </row>
    <row r="380" spans="1:12" ht="18.75">
      <c r="A380" s="219"/>
      <c r="B380" s="132" t="s">
        <v>1141</v>
      </c>
      <c r="C380" s="133" t="s">
        <v>1888</v>
      </c>
      <c r="D380" s="119">
        <f t="shared" ref="D380:E380" si="78">SUM(D381:D383)</f>
        <v>18555787.879999999</v>
      </c>
      <c r="E380" s="119">
        <f t="shared" si="78"/>
        <v>18151920.399999999</v>
      </c>
      <c r="F380" s="65" t="s">
        <v>2110</v>
      </c>
      <c r="G380" s="228"/>
      <c r="H380" s="80"/>
      <c r="J380" s="76"/>
      <c r="L380" s="80"/>
    </row>
    <row r="381" spans="1:12" ht="18.75">
      <c r="A381" s="219"/>
      <c r="B381" s="83" t="s">
        <v>1143</v>
      </c>
      <c r="C381" s="84" t="s">
        <v>1889</v>
      </c>
      <c r="D381" s="79">
        <f>+ROUND(SUM('Alimentazione CE Costi'!K529:K540),2)</f>
        <v>15667289.939999999</v>
      </c>
      <c r="E381" s="79">
        <f>+ROUND(SUM('Alimentazione CE Costi'!L529:L540),2)</f>
        <v>15483092.539999999</v>
      </c>
      <c r="F381" s="65"/>
      <c r="G381" s="228"/>
      <c r="H381" s="80"/>
      <c r="J381" s="76"/>
      <c r="L381" s="80"/>
    </row>
    <row r="382" spans="1:12" ht="18.75">
      <c r="A382" s="219"/>
      <c r="B382" s="83" t="s">
        <v>1149</v>
      </c>
      <c r="C382" s="84" t="s">
        <v>1890</v>
      </c>
      <c r="D382" s="79">
        <f>+ROUND(SUM('Alimentazione CE Costi'!K542:K553)+SUM('Alimentazione CE Costi'!K554:K579),2)</f>
        <v>2888497.94</v>
      </c>
      <c r="E382" s="79">
        <f>+ROUND(SUM('Alimentazione CE Costi'!L542:L553)+SUM('Alimentazione CE Costi'!L554:L579),2)</f>
        <v>2668827.86</v>
      </c>
      <c r="F382" s="65"/>
      <c r="G382" s="228"/>
      <c r="H382" s="80"/>
      <c r="J382" s="76"/>
      <c r="L382" s="80"/>
    </row>
    <row r="383" spans="1:12" ht="18.75">
      <c r="A383" s="219"/>
      <c r="B383" s="83" t="s">
        <v>1151</v>
      </c>
      <c r="C383" s="84" t="s">
        <v>1891</v>
      </c>
      <c r="D383" s="79">
        <f>+'Alimentazione CE Costi'!K580</f>
        <v>0</v>
      </c>
      <c r="E383" s="79">
        <f>+'Alimentazione CE Costi'!L580</f>
        <v>0</v>
      </c>
      <c r="F383" s="65"/>
      <c r="G383" s="228"/>
      <c r="H383" s="80"/>
      <c r="J383" s="76"/>
      <c r="L383" s="80"/>
    </row>
    <row r="384" spans="1:12" ht="18.75">
      <c r="A384" s="219"/>
      <c r="B384" s="111" t="s">
        <v>1153</v>
      </c>
      <c r="C384" s="112" t="s">
        <v>1892</v>
      </c>
      <c r="D384" s="113">
        <f t="shared" ref="D384:E384" si="79">+D385+D389</f>
        <v>176283.27</v>
      </c>
      <c r="E384" s="113">
        <f t="shared" si="79"/>
        <v>138713.54999999999</v>
      </c>
      <c r="F384" s="65" t="s">
        <v>2110</v>
      </c>
      <c r="G384" s="228"/>
      <c r="H384" s="80"/>
      <c r="J384" s="76"/>
      <c r="L384" s="80"/>
    </row>
    <row r="385" spans="1:12" ht="18.75">
      <c r="A385" s="219"/>
      <c r="B385" s="106" t="s">
        <v>1155</v>
      </c>
      <c r="C385" s="107" t="s">
        <v>1893</v>
      </c>
      <c r="D385" s="105">
        <f t="shared" ref="D385:E385" si="80">SUM(D386:D388)</f>
        <v>176283.27</v>
      </c>
      <c r="E385" s="105">
        <f t="shared" si="80"/>
        <v>138713.54999999999</v>
      </c>
      <c r="F385" s="65" t="s">
        <v>2110</v>
      </c>
      <c r="G385" s="228"/>
      <c r="H385" s="80"/>
      <c r="J385" s="76"/>
      <c r="L385" s="80"/>
    </row>
    <row r="386" spans="1:12" ht="18.75">
      <c r="A386" s="219"/>
      <c r="B386" s="83" t="s">
        <v>1157</v>
      </c>
      <c r="C386" s="84" t="s">
        <v>1894</v>
      </c>
      <c r="D386" s="79">
        <f>+ROUND(SUM('Alimentazione CE Costi'!K584:K592),2)</f>
        <v>142427.99</v>
      </c>
      <c r="E386" s="79">
        <f>+ROUND(SUM('Alimentazione CE Costi'!L584:L592),2)</f>
        <v>138713.54999999999</v>
      </c>
      <c r="F386" s="65"/>
      <c r="G386" s="228"/>
      <c r="H386" s="80"/>
      <c r="J386" s="76"/>
      <c r="L386" s="80"/>
    </row>
    <row r="387" spans="1:12" ht="18.75">
      <c r="A387" s="219"/>
      <c r="B387" s="83" t="s">
        <v>1160</v>
      </c>
      <c r="C387" s="84" t="s">
        <v>1895</v>
      </c>
      <c r="D387" s="79">
        <f>+ROUND(SUM('Alimentazione CE Costi'!K594:K602),2)</f>
        <v>33855.279999999999</v>
      </c>
      <c r="E387" s="79">
        <f>+ROUND(SUM('Alimentazione CE Costi'!L594:L602),2)</f>
        <v>0</v>
      </c>
      <c r="F387" s="65"/>
      <c r="G387" s="228"/>
      <c r="H387" s="80"/>
      <c r="J387" s="76"/>
      <c r="L387" s="80"/>
    </row>
    <row r="388" spans="1:12" ht="18.75">
      <c r="A388" s="219"/>
      <c r="B388" s="83" t="s">
        <v>1162</v>
      </c>
      <c r="C388" s="84" t="s">
        <v>1896</v>
      </c>
      <c r="D388" s="79">
        <f>+'Alimentazione CE Costi'!K603</f>
        <v>0</v>
      </c>
      <c r="E388" s="79">
        <f>+'Alimentazione CE Costi'!L603</f>
        <v>0</v>
      </c>
      <c r="F388" s="65"/>
      <c r="G388" s="228"/>
      <c r="H388" s="80"/>
      <c r="J388" s="76"/>
      <c r="L388" s="80"/>
    </row>
    <row r="389" spans="1:12" ht="18.75">
      <c r="A389" s="219"/>
      <c r="B389" s="106" t="s">
        <v>1164</v>
      </c>
      <c r="C389" s="107" t="s">
        <v>1897</v>
      </c>
      <c r="D389" s="105">
        <f t="shared" ref="D389:E389" si="81">SUM(D390:D392)</f>
        <v>0</v>
      </c>
      <c r="E389" s="105">
        <f t="shared" si="81"/>
        <v>0</v>
      </c>
      <c r="F389" s="65" t="s">
        <v>2110</v>
      </c>
      <c r="G389" s="228"/>
      <c r="H389" s="80"/>
      <c r="J389" s="76"/>
      <c r="L389" s="80"/>
    </row>
    <row r="390" spans="1:12" ht="18.75">
      <c r="A390" s="219"/>
      <c r="B390" s="83" t="s">
        <v>1166</v>
      </c>
      <c r="C390" s="84" t="s">
        <v>1898</v>
      </c>
      <c r="D390" s="79">
        <f>+ROUND(SUM('Alimentazione CE Costi'!K606:K617),2)</f>
        <v>0</v>
      </c>
      <c r="E390" s="79">
        <f>+ROUND(SUM('Alimentazione CE Costi'!L606:L617),2)</f>
        <v>0</v>
      </c>
      <c r="F390" s="65"/>
      <c r="G390" s="228"/>
      <c r="H390" s="80"/>
      <c r="J390" s="76"/>
      <c r="L390" s="80"/>
    </row>
    <row r="391" spans="1:12" ht="18.75">
      <c r="A391" s="219"/>
      <c r="B391" s="83" t="s">
        <v>1168</v>
      </c>
      <c r="C391" s="84" t="s">
        <v>1899</v>
      </c>
      <c r="D391" s="79">
        <f>+ROUND(SUM('Alimentazione CE Costi'!K619:K630),2)</f>
        <v>0</v>
      </c>
      <c r="E391" s="79">
        <f>+ROUND(SUM('Alimentazione CE Costi'!L619:L630),2)</f>
        <v>0</v>
      </c>
      <c r="F391" s="65"/>
      <c r="G391" s="228"/>
      <c r="H391" s="80"/>
      <c r="J391" s="76"/>
      <c r="L391" s="80"/>
    </row>
    <row r="392" spans="1:12" ht="18.75">
      <c r="A392" s="219"/>
      <c r="B392" s="83" t="s">
        <v>1170</v>
      </c>
      <c r="C392" s="84" t="s">
        <v>1900</v>
      </c>
      <c r="D392" s="79">
        <f>+'Alimentazione CE Costi'!K631</f>
        <v>0</v>
      </c>
      <c r="E392" s="79">
        <f>+'Alimentazione CE Costi'!L631</f>
        <v>0</v>
      </c>
      <c r="F392" s="65"/>
      <c r="G392" s="228"/>
      <c r="H392" s="80"/>
      <c r="J392" s="76"/>
      <c r="L392" s="80"/>
    </row>
    <row r="393" spans="1:12" ht="18.75">
      <c r="A393" s="219"/>
      <c r="B393" s="111" t="s">
        <v>1172</v>
      </c>
      <c r="C393" s="112" t="s">
        <v>1901</v>
      </c>
      <c r="D393" s="113">
        <f t="shared" ref="D393:E393" si="82">+D394+D398</f>
        <v>4299634.32</v>
      </c>
      <c r="E393" s="113">
        <f t="shared" si="82"/>
        <v>4056111.9399999995</v>
      </c>
      <c r="F393" s="65" t="s">
        <v>2110</v>
      </c>
      <c r="G393" s="228"/>
      <c r="H393" s="80"/>
      <c r="J393" s="76"/>
      <c r="L393" s="80"/>
    </row>
    <row r="394" spans="1:12" ht="18.75">
      <c r="A394" s="219"/>
      <c r="B394" s="106" t="s">
        <v>1174</v>
      </c>
      <c r="C394" s="107" t="s">
        <v>1902</v>
      </c>
      <c r="D394" s="105">
        <f t="shared" ref="D394:E394" si="83">SUM(D395:D397)</f>
        <v>254327.46999999997</v>
      </c>
      <c r="E394" s="105">
        <f t="shared" si="83"/>
        <v>220508.51</v>
      </c>
      <c r="F394" s="65" t="s">
        <v>2110</v>
      </c>
      <c r="G394" s="228"/>
      <c r="H394" s="80"/>
      <c r="J394" s="76"/>
      <c r="L394" s="80"/>
    </row>
    <row r="395" spans="1:12" ht="18.75">
      <c r="A395" s="219"/>
      <c r="B395" s="83" t="s">
        <v>1176</v>
      </c>
      <c r="C395" s="84" t="s">
        <v>1903</v>
      </c>
      <c r="D395" s="79">
        <f>+ROUND(SUM('Alimentazione CE Costi'!K635:K643),2)</f>
        <v>218893.27</v>
      </c>
      <c r="E395" s="79">
        <f>+ROUND(SUM('Alimentazione CE Costi'!L635:L643),2)</f>
        <v>220508.51</v>
      </c>
      <c r="F395" s="65"/>
      <c r="G395" s="228"/>
      <c r="H395" s="80"/>
      <c r="J395" s="76"/>
      <c r="L395" s="80"/>
    </row>
    <row r="396" spans="1:12" ht="18.75">
      <c r="A396" s="219"/>
      <c r="B396" s="83" t="s">
        <v>1179</v>
      </c>
      <c r="C396" s="84" t="s">
        <v>1904</v>
      </c>
      <c r="D396" s="79">
        <f>+ROUND(SUM('Alimentazione CE Costi'!K645:K653),2)</f>
        <v>35434.199999999997</v>
      </c>
      <c r="E396" s="79">
        <f>+ROUND(SUM('Alimentazione CE Costi'!L645:L653),2)</f>
        <v>0</v>
      </c>
      <c r="F396" s="65"/>
      <c r="G396" s="228"/>
      <c r="H396" s="80"/>
      <c r="J396" s="76"/>
      <c r="L396" s="80"/>
    </row>
    <row r="397" spans="1:12" ht="18.75">
      <c r="A397" s="219"/>
      <c r="B397" s="83" t="s">
        <v>1181</v>
      </c>
      <c r="C397" s="84" t="s">
        <v>1905</v>
      </c>
      <c r="D397" s="79">
        <f>+'Alimentazione CE Costi'!K654</f>
        <v>0</v>
      </c>
      <c r="E397" s="79">
        <f>+'Alimentazione CE Costi'!L654</f>
        <v>0</v>
      </c>
      <c r="F397" s="65"/>
      <c r="G397" s="228"/>
      <c r="H397" s="80"/>
      <c r="J397" s="76"/>
      <c r="L397" s="80"/>
    </row>
    <row r="398" spans="1:12" ht="18.75">
      <c r="A398" s="219"/>
      <c r="B398" s="106" t="s">
        <v>1183</v>
      </c>
      <c r="C398" s="107" t="s">
        <v>1906</v>
      </c>
      <c r="D398" s="105">
        <f t="shared" ref="D398:E398" si="84">SUM(D399:D401)</f>
        <v>4045306.85</v>
      </c>
      <c r="E398" s="105">
        <f t="shared" si="84"/>
        <v>3835603.4299999997</v>
      </c>
      <c r="F398" s="65" t="s">
        <v>2110</v>
      </c>
      <c r="G398" s="228"/>
      <c r="H398" s="80"/>
      <c r="J398" s="76"/>
      <c r="L398" s="80"/>
    </row>
    <row r="399" spans="1:12" ht="18.75">
      <c r="A399" s="219"/>
      <c r="B399" s="83" t="s">
        <v>1185</v>
      </c>
      <c r="C399" s="84" t="s">
        <v>1907</v>
      </c>
      <c r="D399" s="79">
        <f>+ROUND(SUM('Alimentazione CE Costi'!K657:K681),2)</f>
        <v>3925762.89</v>
      </c>
      <c r="E399" s="79">
        <f>+ROUND(SUM('Alimentazione CE Costi'!L657:L681),2)</f>
        <v>3762594.34</v>
      </c>
      <c r="F399" s="65"/>
      <c r="G399" s="228"/>
      <c r="H399" s="80"/>
      <c r="J399" s="76"/>
      <c r="L399" s="80"/>
    </row>
    <row r="400" spans="1:12" ht="18.75">
      <c r="A400" s="219"/>
      <c r="B400" s="83" t="s">
        <v>1187</v>
      </c>
      <c r="C400" s="84" t="s">
        <v>1908</v>
      </c>
      <c r="D400" s="79">
        <f>+ROUND(SUM('Alimentazione CE Costi'!K683:K707),2)</f>
        <v>119543.96</v>
      </c>
      <c r="E400" s="79">
        <f>+ROUND(SUM('Alimentazione CE Costi'!L683:L707),2)</f>
        <v>73009.09</v>
      </c>
      <c r="F400" s="65"/>
      <c r="G400" s="228"/>
      <c r="H400" s="80"/>
      <c r="J400" s="76"/>
      <c r="L400" s="80"/>
    </row>
    <row r="401" spans="1:12" ht="18.75">
      <c r="A401" s="219"/>
      <c r="B401" s="83" t="s">
        <v>1189</v>
      </c>
      <c r="C401" s="84" t="s">
        <v>1909</v>
      </c>
      <c r="D401" s="79">
        <f>+'Alimentazione CE Costi'!K708</f>
        <v>0</v>
      </c>
      <c r="E401" s="79">
        <f>+'Alimentazione CE Costi'!L708</f>
        <v>0</v>
      </c>
      <c r="F401" s="65"/>
      <c r="G401" s="228"/>
      <c r="H401" s="80"/>
      <c r="J401" s="76"/>
      <c r="L401" s="80"/>
    </row>
    <row r="402" spans="1:12" ht="18.75">
      <c r="A402" s="219"/>
      <c r="B402" s="111" t="s">
        <v>1191</v>
      </c>
      <c r="C402" s="112" t="s">
        <v>1910</v>
      </c>
      <c r="D402" s="113">
        <f t="shared" ref="D402:E402" si="85">+D403+D407</f>
        <v>3340041.3600000003</v>
      </c>
      <c r="E402" s="113">
        <f t="shared" si="85"/>
        <v>2997037.06</v>
      </c>
      <c r="F402" s="65" t="s">
        <v>2110</v>
      </c>
      <c r="G402" s="228"/>
      <c r="H402" s="80"/>
      <c r="J402" s="76"/>
      <c r="L402" s="80"/>
    </row>
    <row r="403" spans="1:12" ht="18.75">
      <c r="A403" s="219"/>
      <c r="B403" s="106" t="s">
        <v>1193</v>
      </c>
      <c r="C403" s="107" t="s">
        <v>1911</v>
      </c>
      <c r="D403" s="105">
        <f t="shared" ref="D403:E403" si="86">SUM(D404:D406)</f>
        <v>603226.28</v>
      </c>
      <c r="E403" s="105">
        <f t="shared" si="86"/>
        <v>637020.56999999995</v>
      </c>
      <c r="F403" s="65" t="s">
        <v>2110</v>
      </c>
      <c r="G403" s="228"/>
      <c r="H403" s="80"/>
      <c r="J403" s="76"/>
      <c r="L403" s="80"/>
    </row>
    <row r="404" spans="1:12" ht="18.75">
      <c r="A404" s="219"/>
      <c r="B404" s="83" t="s">
        <v>1195</v>
      </c>
      <c r="C404" s="84" t="s">
        <v>1912</v>
      </c>
      <c r="D404" s="79">
        <f>+ROUND(SUM('Alimentazione CE Costi'!K712:K720),2)</f>
        <v>603226.28</v>
      </c>
      <c r="E404" s="79">
        <f>+ROUND(SUM('Alimentazione CE Costi'!L712:L720),2)</f>
        <v>540213.44999999995</v>
      </c>
      <c r="F404" s="65"/>
      <c r="G404" s="228"/>
      <c r="H404" s="80"/>
      <c r="J404" s="76"/>
      <c r="L404" s="80"/>
    </row>
    <row r="405" spans="1:12" ht="18.75">
      <c r="A405" s="219"/>
      <c r="B405" s="83" t="s">
        <v>1198</v>
      </c>
      <c r="C405" s="84" t="s">
        <v>1913</v>
      </c>
      <c r="D405" s="79">
        <f>+ROUND(SUM('Alimentazione CE Costi'!K722:K730),2)</f>
        <v>0</v>
      </c>
      <c r="E405" s="79">
        <f>+ROUND(SUM('Alimentazione CE Costi'!L722:L730),2)</f>
        <v>96807.12</v>
      </c>
      <c r="F405" s="65"/>
      <c r="G405" s="228"/>
      <c r="H405" s="80"/>
      <c r="J405" s="76"/>
      <c r="L405" s="80"/>
    </row>
    <row r="406" spans="1:12" ht="18.75">
      <c r="A406" s="219"/>
      <c r="B406" s="83" t="s">
        <v>1200</v>
      </c>
      <c r="C406" s="84" t="s">
        <v>1914</v>
      </c>
      <c r="D406" s="79">
        <f>+'Alimentazione CE Costi'!K731</f>
        <v>0</v>
      </c>
      <c r="E406" s="79">
        <f>+'Alimentazione CE Costi'!L731</f>
        <v>0</v>
      </c>
      <c r="F406" s="65"/>
      <c r="G406" s="228"/>
      <c r="H406" s="80"/>
      <c r="J406" s="76"/>
      <c r="L406" s="80"/>
    </row>
    <row r="407" spans="1:12" ht="18.75">
      <c r="A407" s="219"/>
      <c r="B407" s="106" t="s">
        <v>1202</v>
      </c>
      <c r="C407" s="107" t="s">
        <v>1915</v>
      </c>
      <c r="D407" s="105">
        <f t="shared" ref="D407:E407" si="87">SUM(D408:D410)</f>
        <v>2736815.08</v>
      </c>
      <c r="E407" s="105">
        <f t="shared" si="87"/>
        <v>2360016.4900000002</v>
      </c>
      <c r="F407" s="65" t="s">
        <v>2110</v>
      </c>
      <c r="G407" s="228"/>
      <c r="H407" s="80"/>
      <c r="J407" s="76"/>
      <c r="L407" s="80"/>
    </row>
    <row r="408" spans="1:12" ht="18.75">
      <c r="A408" s="219"/>
      <c r="B408" s="83" t="s">
        <v>1204</v>
      </c>
      <c r="C408" s="84" t="s">
        <v>1916</v>
      </c>
      <c r="D408" s="79">
        <f>+ROUND(SUM('Alimentazione CE Costi'!K734:K745),2)</f>
        <v>2068314.8</v>
      </c>
      <c r="E408" s="79">
        <f>+ROUND(SUM('Alimentazione CE Costi'!L734:L745),2)</f>
        <v>2286978.91</v>
      </c>
      <c r="F408" s="65"/>
      <c r="G408" s="228"/>
      <c r="H408" s="80"/>
      <c r="J408" s="76"/>
      <c r="L408" s="80"/>
    </row>
    <row r="409" spans="1:12" ht="18.75">
      <c r="A409" s="219"/>
      <c r="B409" s="83" t="s">
        <v>1206</v>
      </c>
      <c r="C409" s="84" t="s">
        <v>1917</v>
      </c>
      <c r="D409" s="79">
        <f>+ROUND(SUM('Alimentazione CE Costi'!K747:K758),2)</f>
        <v>668500.28</v>
      </c>
      <c r="E409" s="79">
        <f>+ROUND(SUM('Alimentazione CE Costi'!L747:L758),2)</f>
        <v>73037.58</v>
      </c>
      <c r="F409" s="65"/>
      <c r="G409" s="228"/>
      <c r="H409" s="80"/>
      <c r="J409" s="76"/>
      <c r="L409" s="80"/>
    </row>
    <row r="410" spans="1:12" ht="18.75">
      <c r="A410" s="219"/>
      <c r="B410" s="83" t="s">
        <v>1208</v>
      </c>
      <c r="C410" s="84" t="s">
        <v>1918</v>
      </c>
      <c r="D410" s="79">
        <f>+'Alimentazione CE Costi'!K759</f>
        <v>0</v>
      </c>
      <c r="E410" s="79">
        <f>+'Alimentazione CE Costi'!L759</f>
        <v>0</v>
      </c>
      <c r="F410" s="65"/>
      <c r="G410" s="228"/>
      <c r="H410" s="80"/>
      <c r="J410" s="76"/>
      <c r="L410" s="80"/>
    </row>
    <row r="411" spans="1:12" ht="18.75">
      <c r="A411" s="219"/>
      <c r="B411" s="111" t="s">
        <v>1209</v>
      </c>
      <c r="C411" s="112" t="s">
        <v>1919</v>
      </c>
      <c r="D411" s="113">
        <f t="shared" ref="D411:E411" si="88">+D412+D413+D414</f>
        <v>933093.42</v>
      </c>
      <c r="E411" s="113">
        <f t="shared" si="88"/>
        <v>840981.22</v>
      </c>
      <c r="F411" s="65" t="s">
        <v>2110</v>
      </c>
      <c r="G411" s="228"/>
      <c r="H411" s="80"/>
      <c r="J411" s="76"/>
      <c r="L411" s="80"/>
    </row>
    <row r="412" spans="1:12" ht="18.75">
      <c r="A412" s="219"/>
      <c r="B412" s="81" t="s">
        <v>1211</v>
      </c>
      <c r="C412" s="82" t="s">
        <v>1920</v>
      </c>
      <c r="D412" s="89">
        <f>+ROUND(SUM('Alimentazione CE Costi'!K762:K768),2)</f>
        <v>154238.12</v>
      </c>
      <c r="E412" s="89">
        <f>+ROUND(SUM('Alimentazione CE Costi'!L762:L768),2)</f>
        <v>155027.76999999999</v>
      </c>
      <c r="F412" s="65"/>
      <c r="G412" s="228"/>
      <c r="H412" s="80"/>
      <c r="J412" s="76"/>
      <c r="L412" s="80"/>
    </row>
    <row r="413" spans="1:12" ht="18.75">
      <c r="A413" s="219"/>
      <c r="B413" s="81" t="s">
        <v>1220</v>
      </c>
      <c r="C413" s="82" t="s">
        <v>1921</v>
      </c>
      <c r="D413" s="89">
        <f>+'Alimentazione CE Costi'!K769</f>
        <v>0</v>
      </c>
      <c r="E413" s="89">
        <f>+'Alimentazione CE Costi'!L769</f>
        <v>0</v>
      </c>
      <c r="F413" s="65"/>
      <c r="G413" s="228"/>
      <c r="H413" s="80"/>
      <c r="J413" s="76"/>
      <c r="L413" s="80"/>
    </row>
    <row r="414" spans="1:12" ht="18.75">
      <c r="A414" s="219"/>
      <c r="B414" s="106" t="s">
        <v>1222</v>
      </c>
      <c r="C414" s="107" t="s">
        <v>1922</v>
      </c>
      <c r="D414" s="105">
        <f t="shared" ref="D414:E414" si="89">+D415+D416+D417+D418</f>
        <v>778855.3</v>
      </c>
      <c r="E414" s="105">
        <f t="shared" si="89"/>
        <v>685953.45</v>
      </c>
      <c r="F414" s="65" t="s">
        <v>2110</v>
      </c>
      <c r="G414" s="228"/>
      <c r="H414" s="80"/>
      <c r="J414" s="76"/>
      <c r="L414" s="80"/>
    </row>
    <row r="415" spans="1:12" ht="18.75">
      <c r="A415" s="219"/>
      <c r="B415" s="83" t="s">
        <v>1224</v>
      </c>
      <c r="C415" s="84" t="s">
        <v>1923</v>
      </c>
      <c r="D415" s="79">
        <f>+ROUND(SUM('Alimentazione CE Costi'!K773:K783),2)</f>
        <v>778855.3</v>
      </c>
      <c r="E415" s="79">
        <f>+ROUND(SUM('Alimentazione CE Costi'!L773:L783),2)</f>
        <v>685953.45</v>
      </c>
      <c r="F415" s="65"/>
      <c r="G415" s="228"/>
      <c r="H415" s="80"/>
      <c r="J415" s="76"/>
      <c r="L415" s="80"/>
    </row>
    <row r="416" spans="1:12" ht="18.75">
      <c r="A416" s="219"/>
      <c r="B416" s="83" t="s">
        <v>1232</v>
      </c>
      <c r="C416" s="84" t="s">
        <v>1924</v>
      </c>
      <c r="D416" s="79">
        <f>+'Alimentazione CE Costi'!K785+'Alimentazione CE Costi'!K786+'Alimentazione CE Costi'!K787</f>
        <v>0</v>
      </c>
      <c r="E416" s="79">
        <f>+'Alimentazione CE Costi'!L785+'Alimentazione CE Costi'!L786+'Alimentazione CE Costi'!L787</f>
        <v>0</v>
      </c>
      <c r="F416" s="65"/>
      <c r="G416" s="228"/>
      <c r="H416" s="80"/>
      <c r="J416" s="76"/>
      <c r="L416" s="80"/>
    </row>
    <row r="417" spans="1:12" ht="18.75">
      <c r="A417" s="219" t="s">
        <v>1522</v>
      </c>
      <c r="B417" s="83" t="s">
        <v>1236</v>
      </c>
      <c r="C417" s="84" t="s">
        <v>1925</v>
      </c>
      <c r="D417" s="79">
        <f>+'Alimentazione CE Costi'!K788</f>
        <v>0</v>
      </c>
      <c r="E417" s="79">
        <f>+'Alimentazione CE Costi'!L788</f>
        <v>0</v>
      </c>
      <c r="F417" s="65"/>
      <c r="G417" s="228"/>
      <c r="H417" s="80"/>
      <c r="J417" s="76"/>
      <c r="L417" s="80"/>
    </row>
    <row r="418" spans="1:12" ht="18.75">
      <c r="A418" s="219"/>
      <c r="B418" s="83" t="s">
        <v>1238</v>
      </c>
      <c r="C418" s="84" t="s">
        <v>1926</v>
      </c>
      <c r="D418" s="79">
        <f>+'Alimentazione CE Costi'!K789</f>
        <v>0</v>
      </c>
      <c r="E418" s="79">
        <f>+'Alimentazione CE Costi'!L789</f>
        <v>0</v>
      </c>
      <c r="F418" s="65"/>
      <c r="G418" s="228"/>
      <c r="H418" s="80"/>
      <c r="J418" s="76"/>
      <c r="L418" s="80"/>
    </row>
    <row r="419" spans="1:12" ht="18.75">
      <c r="A419" s="219"/>
      <c r="B419" s="137" t="s">
        <v>1927</v>
      </c>
      <c r="C419" s="138" t="s">
        <v>1928</v>
      </c>
      <c r="D419" s="126">
        <f t="shared" ref="D419:E419" si="90">+D420+D421</f>
        <v>3025841.63</v>
      </c>
      <c r="E419" s="126">
        <f t="shared" si="90"/>
        <v>2789739.56</v>
      </c>
      <c r="F419" s="65" t="s">
        <v>2110</v>
      </c>
      <c r="G419" s="228"/>
      <c r="H419" s="80"/>
      <c r="J419" s="76"/>
      <c r="L419" s="80"/>
    </row>
    <row r="420" spans="1:12" ht="18.75">
      <c r="A420" s="219"/>
      <c r="B420" s="77" t="s">
        <v>1240</v>
      </c>
      <c r="C420" s="78" t="s">
        <v>1929</v>
      </c>
      <c r="D420" s="79">
        <f>+ROUND(SUM('Alimentazione CE Costi'!K791:K798),2)</f>
        <v>15368.34</v>
      </c>
      <c r="E420" s="79">
        <f>+ROUND(SUM('Alimentazione CE Costi'!L791:L798),2)</f>
        <v>12733.14</v>
      </c>
      <c r="F420" s="65"/>
      <c r="G420" s="228"/>
      <c r="H420" s="80"/>
      <c r="J420" s="76"/>
      <c r="L420" s="80"/>
    </row>
    <row r="421" spans="1:12" ht="18.75">
      <c r="A421" s="219"/>
      <c r="B421" s="111" t="s">
        <v>1250</v>
      </c>
      <c r="C421" s="112" t="s">
        <v>1930</v>
      </c>
      <c r="D421" s="113">
        <f t="shared" ref="D421:E421" si="91">+D422+D425</f>
        <v>3010473.29</v>
      </c>
      <c r="E421" s="113">
        <f t="shared" si="91"/>
        <v>2777006.42</v>
      </c>
      <c r="F421" s="65" t="s">
        <v>2110</v>
      </c>
      <c r="G421" s="228"/>
      <c r="H421" s="80"/>
      <c r="J421" s="76"/>
      <c r="L421" s="80"/>
    </row>
    <row r="422" spans="1:12" ht="18.75">
      <c r="A422" s="221"/>
      <c r="B422" s="106" t="s">
        <v>1252</v>
      </c>
      <c r="C422" s="107" t="s">
        <v>1931</v>
      </c>
      <c r="D422" s="105">
        <f t="shared" ref="D422:E422" si="92">+D423+D424</f>
        <v>1041321.5700000001</v>
      </c>
      <c r="E422" s="105">
        <f t="shared" si="92"/>
        <v>957734.92</v>
      </c>
      <c r="F422" s="65" t="s">
        <v>2110</v>
      </c>
      <c r="G422" s="228"/>
      <c r="H422" s="80"/>
      <c r="J422" s="76"/>
      <c r="L422" s="80"/>
    </row>
    <row r="423" spans="1:12" ht="18.75">
      <c r="A423" s="221"/>
      <c r="B423" s="83" t="s">
        <v>1254</v>
      </c>
      <c r="C423" s="84" t="s">
        <v>1932</v>
      </c>
      <c r="D423" s="79">
        <f>+'Alimentazione CE Costi'!K801</f>
        <v>19407.14</v>
      </c>
      <c r="E423" s="79">
        <f>+'Alimentazione CE Costi'!L801</f>
        <v>47760.29</v>
      </c>
      <c r="F423" s="373"/>
      <c r="G423" s="228"/>
      <c r="H423" s="80"/>
      <c r="J423" s="76"/>
      <c r="L423" s="80"/>
    </row>
    <row r="424" spans="1:12" ht="18.75">
      <c r="A424" s="221"/>
      <c r="B424" s="83" t="s">
        <v>1256</v>
      </c>
      <c r="C424" s="84" t="s">
        <v>1933</v>
      </c>
      <c r="D424" s="79">
        <f>+'Alimentazione CE Costi'!K802</f>
        <v>1021914.43</v>
      </c>
      <c r="E424" s="79">
        <f>+'Alimentazione CE Costi'!L802</f>
        <v>909974.63</v>
      </c>
      <c r="F424" s="373"/>
      <c r="G424" s="228"/>
      <c r="H424" s="80"/>
      <c r="J424" s="76"/>
      <c r="L424" s="80"/>
    </row>
    <row r="425" spans="1:12" ht="18.75">
      <c r="A425" s="221"/>
      <c r="B425" s="77" t="s">
        <v>1258</v>
      </c>
      <c r="C425" s="78" t="s">
        <v>1934</v>
      </c>
      <c r="D425" s="79">
        <f>+ROUND(SUM('Alimentazione CE Costi'!K804:K808),2)</f>
        <v>1969151.72</v>
      </c>
      <c r="E425" s="79">
        <f>+ROUND(SUM('Alimentazione CE Costi'!L804:L808),2)</f>
        <v>1819271.5</v>
      </c>
      <c r="F425" s="373"/>
      <c r="G425" s="228"/>
      <c r="H425" s="80"/>
      <c r="J425" s="76"/>
      <c r="L425" s="80"/>
    </row>
    <row r="426" spans="1:12" ht="18.75">
      <c r="A426" s="221"/>
      <c r="B426" s="111" t="s">
        <v>1265</v>
      </c>
      <c r="C426" s="112" t="s">
        <v>1935</v>
      </c>
      <c r="D426" s="113">
        <f t="shared" ref="D426:E426" si="93">+D427+D428</f>
        <v>312642.65000000002</v>
      </c>
      <c r="E426" s="113">
        <f t="shared" si="93"/>
        <v>210612.54</v>
      </c>
      <c r="F426" s="65" t="s">
        <v>2110</v>
      </c>
      <c r="G426" s="228"/>
      <c r="H426" s="80"/>
      <c r="J426" s="76"/>
      <c r="L426" s="80"/>
    </row>
    <row r="427" spans="1:12" ht="18.75">
      <c r="A427" s="221"/>
      <c r="B427" s="81" t="s">
        <v>1267</v>
      </c>
      <c r="C427" s="82" t="s">
        <v>1936</v>
      </c>
      <c r="D427" s="89">
        <f>+ROUND(SUM('Alimentazione CE Costi'!K812:K826),2)</f>
        <v>0</v>
      </c>
      <c r="E427" s="89">
        <f>+ROUND(SUM('Alimentazione CE Costi'!L812:L826),2)</f>
        <v>0</v>
      </c>
      <c r="F427" s="373"/>
      <c r="G427" s="228"/>
      <c r="H427" s="80"/>
      <c r="J427" s="76"/>
      <c r="L427" s="80"/>
    </row>
    <row r="428" spans="1:12" ht="18.75">
      <c r="A428" s="221"/>
      <c r="B428" s="81" t="s">
        <v>1285</v>
      </c>
      <c r="C428" s="82" t="s">
        <v>1937</v>
      </c>
      <c r="D428" s="79">
        <f>+ROUND(SUM('Alimentazione CE Costi'!K828:K870),2)</f>
        <v>312642.65000000002</v>
      </c>
      <c r="E428" s="79">
        <f>+ROUND(SUM('Alimentazione CE Costi'!L828:L870),2)</f>
        <v>210612.54</v>
      </c>
      <c r="F428" s="373"/>
      <c r="G428" s="228"/>
      <c r="H428" s="80"/>
      <c r="J428" s="76"/>
      <c r="L428" s="80"/>
    </row>
    <row r="429" spans="1:12" ht="18.75">
      <c r="A429" s="221"/>
      <c r="B429" s="111" t="s">
        <v>1329</v>
      </c>
      <c r="C429" s="112" t="s">
        <v>1938</v>
      </c>
      <c r="D429" s="113">
        <f t="shared" ref="D429:E429" si="94">+D430+D439</f>
        <v>-219695.32</v>
      </c>
      <c r="E429" s="113">
        <f t="shared" si="94"/>
        <v>-83386.240000000005</v>
      </c>
      <c r="F429" s="65" t="s">
        <v>2110</v>
      </c>
      <c r="G429" s="228"/>
      <c r="H429" s="80"/>
      <c r="J429" s="76"/>
      <c r="L429" s="80"/>
    </row>
    <row r="430" spans="1:12" ht="18.75">
      <c r="A430" s="221"/>
      <c r="B430" s="106" t="s">
        <v>1331</v>
      </c>
      <c r="C430" s="107" t="s">
        <v>1939</v>
      </c>
      <c r="D430" s="105">
        <f t="shared" ref="D430:E430" si="95">SUM(D431:D438)</f>
        <v>-221457.5</v>
      </c>
      <c r="E430" s="105">
        <f t="shared" si="95"/>
        <v>-63215.83</v>
      </c>
      <c r="F430" s="65" t="s">
        <v>2110</v>
      </c>
      <c r="G430" s="228"/>
      <c r="H430" s="80"/>
      <c r="J430" s="76"/>
      <c r="L430" s="80"/>
    </row>
    <row r="431" spans="1:12" ht="18.75">
      <c r="A431" s="221"/>
      <c r="B431" s="83" t="s">
        <v>1332</v>
      </c>
      <c r="C431" s="84" t="s">
        <v>1940</v>
      </c>
      <c r="D431" s="79">
        <f>+'Alimentazione CE Costi'!K873</f>
        <v>5717.74</v>
      </c>
      <c r="E431" s="79">
        <f>+'Alimentazione CE Costi'!L873</f>
        <v>-26361.08</v>
      </c>
      <c r="F431" s="373"/>
      <c r="G431" s="228"/>
      <c r="H431" s="80"/>
      <c r="J431" s="76"/>
      <c r="L431" s="80"/>
    </row>
    <row r="432" spans="1:12" ht="18.75">
      <c r="A432" s="221"/>
      <c r="B432" s="83" t="s">
        <v>1333</v>
      </c>
      <c r="C432" s="84" t="s">
        <v>1941</v>
      </c>
      <c r="D432" s="79">
        <f>+'Alimentazione CE Costi'!K874</f>
        <v>0</v>
      </c>
      <c r="E432" s="79">
        <f>+'Alimentazione CE Costi'!L874</f>
        <v>0</v>
      </c>
      <c r="F432" s="373"/>
      <c r="G432" s="228"/>
      <c r="H432" s="80"/>
      <c r="J432" s="76"/>
      <c r="L432" s="80"/>
    </row>
    <row r="433" spans="1:12" ht="18.75">
      <c r="A433" s="221"/>
      <c r="B433" s="83" t="s">
        <v>1334</v>
      </c>
      <c r="C433" s="84" t="s">
        <v>1942</v>
      </c>
      <c r="D433" s="79">
        <f>+'Alimentazione CE Costi'!K875</f>
        <v>-187340.92</v>
      </c>
      <c r="E433" s="79">
        <f>+'Alimentazione CE Costi'!L875</f>
        <v>7836.91</v>
      </c>
      <c r="F433" s="373"/>
      <c r="G433" s="228"/>
      <c r="H433" s="80"/>
      <c r="J433" s="76"/>
      <c r="L433" s="80"/>
    </row>
    <row r="434" spans="1:12" ht="18.75">
      <c r="A434" s="221"/>
      <c r="B434" s="83" t="s">
        <v>1335</v>
      </c>
      <c r="C434" s="84" t="s">
        <v>1943</v>
      </c>
      <c r="D434" s="79">
        <f>+'Alimentazione CE Costi'!K876</f>
        <v>-784.83</v>
      </c>
      <c r="E434" s="79">
        <f>+'Alimentazione CE Costi'!L876</f>
        <v>-274.27</v>
      </c>
      <c r="F434" s="373"/>
      <c r="G434" s="228"/>
      <c r="H434" s="80"/>
      <c r="J434" s="76"/>
      <c r="L434" s="80"/>
    </row>
    <row r="435" spans="1:12" ht="18.75">
      <c r="A435" s="221"/>
      <c r="B435" s="83" t="s">
        <v>1336</v>
      </c>
      <c r="C435" s="84" t="s">
        <v>1944</v>
      </c>
      <c r="D435" s="79">
        <f>+'Alimentazione CE Costi'!K877</f>
        <v>0</v>
      </c>
      <c r="E435" s="79">
        <f>+'Alimentazione CE Costi'!L877</f>
        <v>0</v>
      </c>
      <c r="F435" s="373"/>
      <c r="G435" s="228"/>
      <c r="H435" s="80"/>
      <c r="J435" s="76"/>
      <c r="L435" s="80"/>
    </row>
    <row r="436" spans="1:12" ht="18.75">
      <c r="A436" s="221"/>
      <c r="B436" s="83" t="s">
        <v>1337</v>
      </c>
      <c r="C436" s="84" t="s">
        <v>1945</v>
      </c>
      <c r="D436" s="79">
        <f>+'Alimentazione CE Costi'!K878</f>
        <v>-20348.38</v>
      </c>
      <c r="E436" s="79">
        <f>+'Alimentazione CE Costi'!L878</f>
        <v>-26996.57</v>
      </c>
      <c r="F436" s="373"/>
      <c r="G436" s="228"/>
      <c r="H436" s="80"/>
      <c r="J436" s="76"/>
      <c r="L436" s="80"/>
    </row>
    <row r="437" spans="1:12" ht="18.75">
      <c r="A437" s="221"/>
      <c r="B437" s="83" t="s">
        <v>1338</v>
      </c>
      <c r="C437" s="84" t="s">
        <v>1946</v>
      </c>
      <c r="D437" s="79">
        <f>+'Alimentazione CE Costi'!K879</f>
        <v>0</v>
      </c>
      <c r="E437" s="79">
        <f>+'Alimentazione CE Costi'!L879</f>
        <v>0</v>
      </c>
      <c r="F437" s="373"/>
      <c r="G437" s="228"/>
      <c r="H437" s="80"/>
      <c r="J437" s="76"/>
      <c r="L437" s="80"/>
    </row>
    <row r="438" spans="1:12" ht="18.75">
      <c r="A438" s="221"/>
      <c r="B438" s="83" t="s">
        <v>1339</v>
      </c>
      <c r="C438" s="84" t="s">
        <v>1947</v>
      </c>
      <c r="D438" s="79">
        <f>+'Alimentazione CE Costi'!K880</f>
        <v>-18701.11</v>
      </c>
      <c r="E438" s="79">
        <f>+'Alimentazione CE Costi'!L880</f>
        <v>-17420.82</v>
      </c>
      <c r="F438" s="373"/>
      <c r="G438" s="228"/>
      <c r="H438" s="80"/>
      <c r="J438" s="76"/>
      <c r="L438" s="80"/>
    </row>
    <row r="439" spans="1:12" ht="18.75">
      <c r="A439" s="221"/>
      <c r="B439" s="106" t="s">
        <v>1341</v>
      </c>
      <c r="C439" s="107" t="s">
        <v>1948</v>
      </c>
      <c r="D439" s="105">
        <f t="shared" ref="D439:E439" si="96">SUM(D440:D445)</f>
        <v>1762.1800000000021</v>
      </c>
      <c r="E439" s="105">
        <f t="shared" si="96"/>
        <v>-20170.410000000003</v>
      </c>
      <c r="F439" s="65" t="s">
        <v>2110</v>
      </c>
      <c r="G439" s="228"/>
      <c r="H439" s="80"/>
      <c r="J439" s="76"/>
      <c r="L439" s="80"/>
    </row>
    <row r="440" spans="1:12" ht="18.75">
      <c r="A440" s="221"/>
      <c r="B440" s="83" t="s">
        <v>1342</v>
      </c>
      <c r="C440" s="84" t="s">
        <v>1949</v>
      </c>
      <c r="D440" s="79">
        <f>+'Alimentazione CE Costi'!K882</f>
        <v>-40.32</v>
      </c>
      <c r="E440" s="79">
        <f>+'Alimentazione CE Costi'!L882</f>
        <v>0</v>
      </c>
      <c r="F440" s="373"/>
      <c r="G440" s="228"/>
      <c r="H440" s="80"/>
      <c r="J440" s="76"/>
      <c r="L440" s="80"/>
    </row>
    <row r="441" spans="1:12" ht="18.75">
      <c r="A441" s="221"/>
      <c r="B441" s="83" t="s">
        <v>1343</v>
      </c>
      <c r="C441" s="84" t="s">
        <v>1950</v>
      </c>
      <c r="D441" s="79">
        <f>+'Alimentazione CE Costi'!K883</f>
        <v>-518.5</v>
      </c>
      <c r="E441" s="79">
        <f>+'Alimentazione CE Costi'!L883</f>
        <v>0</v>
      </c>
      <c r="F441" s="373"/>
      <c r="G441" s="228"/>
      <c r="H441" s="80"/>
      <c r="J441" s="76"/>
      <c r="L441" s="80"/>
    </row>
    <row r="442" spans="1:12" ht="18.75">
      <c r="A442" s="221"/>
      <c r="B442" s="83" t="s">
        <v>1344</v>
      </c>
      <c r="C442" s="84" t="s">
        <v>1951</v>
      </c>
      <c r="D442" s="79">
        <f>+'Alimentazione CE Costi'!K884</f>
        <v>0</v>
      </c>
      <c r="E442" s="79">
        <f>+'Alimentazione CE Costi'!L884</f>
        <v>0</v>
      </c>
      <c r="F442" s="373"/>
      <c r="G442" s="228"/>
      <c r="H442" s="80"/>
      <c r="J442" s="76"/>
      <c r="L442" s="80"/>
    </row>
    <row r="443" spans="1:12" ht="18.75">
      <c r="A443" s="221"/>
      <c r="B443" s="83" t="s">
        <v>1345</v>
      </c>
      <c r="C443" s="84" t="s">
        <v>1952</v>
      </c>
      <c r="D443" s="79">
        <f>+'Alimentazione CE Costi'!K885</f>
        <v>-9917.2199999999993</v>
      </c>
      <c r="E443" s="79">
        <f>+'Alimentazione CE Costi'!L885</f>
        <v>-13389.94</v>
      </c>
      <c r="F443" s="373"/>
      <c r="G443" s="228"/>
      <c r="H443" s="80"/>
      <c r="J443" s="76"/>
      <c r="L443" s="80"/>
    </row>
    <row r="444" spans="1:12" ht="18.75">
      <c r="A444" s="221"/>
      <c r="B444" s="83" t="s">
        <v>1346</v>
      </c>
      <c r="C444" s="84" t="s">
        <v>1953</v>
      </c>
      <c r="D444" s="79">
        <f>+'Alimentazione CE Costi'!K886</f>
        <v>588.71</v>
      </c>
      <c r="E444" s="79">
        <f>+'Alimentazione CE Costi'!L886</f>
        <v>145.71</v>
      </c>
      <c r="F444" s="373"/>
      <c r="G444" s="228"/>
      <c r="H444" s="80"/>
      <c r="J444" s="76"/>
      <c r="L444" s="80"/>
    </row>
    <row r="445" spans="1:12" ht="18.75">
      <c r="A445" s="221"/>
      <c r="B445" s="83" t="s">
        <v>1347</v>
      </c>
      <c r="C445" s="84" t="s">
        <v>1954</v>
      </c>
      <c r="D445" s="79">
        <f>+'Alimentazione CE Costi'!K887</f>
        <v>11649.51</v>
      </c>
      <c r="E445" s="79">
        <f>+'Alimentazione CE Costi'!L887</f>
        <v>-6926.18</v>
      </c>
      <c r="F445" s="373"/>
      <c r="G445" s="228"/>
      <c r="H445" s="80"/>
      <c r="J445" s="76"/>
      <c r="L445" s="80"/>
    </row>
    <row r="446" spans="1:12" ht="18.75">
      <c r="A446" s="221"/>
      <c r="B446" s="111" t="s">
        <v>1349</v>
      </c>
      <c r="C446" s="112" t="s">
        <v>1955</v>
      </c>
      <c r="D446" s="113">
        <f t="shared" ref="D446:E446" si="97">+D447+D455+D456+D463</f>
        <v>5352623.41</v>
      </c>
      <c r="E446" s="113">
        <f t="shared" si="97"/>
        <v>10304136.760000002</v>
      </c>
      <c r="F446" s="65" t="s">
        <v>2110</v>
      </c>
      <c r="G446" s="228"/>
      <c r="H446" s="80"/>
      <c r="J446" s="76"/>
      <c r="L446" s="80"/>
    </row>
    <row r="447" spans="1:12" ht="18.75">
      <c r="A447" s="221"/>
      <c r="B447" s="106" t="s">
        <v>1351</v>
      </c>
      <c r="C447" s="107" t="s">
        <v>1956</v>
      </c>
      <c r="D447" s="105">
        <f t="shared" ref="D447:E447" si="98">SUM(D448:D454)</f>
        <v>30609.25</v>
      </c>
      <c r="E447" s="105">
        <f t="shared" si="98"/>
        <v>917659.98000000021</v>
      </c>
      <c r="F447" s="65" t="s">
        <v>2110</v>
      </c>
      <c r="G447" s="228"/>
      <c r="H447" s="80"/>
      <c r="J447" s="76"/>
      <c r="L447" s="80"/>
    </row>
    <row r="448" spans="1:12" ht="18.75">
      <c r="A448" s="221"/>
      <c r="B448" s="83" t="s">
        <v>1353</v>
      </c>
      <c r="C448" s="84" t="s">
        <v>1957</v>
      </c>
      <c r="D448" s="79">
        <f>+'Alimentazione CE Costi'!K890</f>
        <v>5259.03</v>
      </c>
      <c r="E448" s="79">
        <f>+'Alimentazione CE Costi'!L890</f>
        <v>318861.14000000013</v>
      </c>
      <c r="F448" s="373"/>
      <c r="G448" s="228"/>
      <c r="H448" s="80"/>
      <c r="J448" s="76"/>
      <c r="L448" s="80"/>
    </row>
    <row r="449" spans="1:12" ht="18.75">
      <c r="A449" s="221"/>
      <c r="B449" s="83" t="s">
        <v>1355</v>
      </c>
      <c r="C449" s="84" t="s">
        <v>1958</v>
      </c>
      <c r="D449" s="79">
        <f>+'Alimentazione CE Costi'!K891</f>
        <v>25350.22</v>
      </c>
      <c r="E449" s="79">
        <f>+'Alimentazione CE Costi'!L891</f>
        <v>598798.84000000008</v>
      </c>
      <c r="F449" s="373"/>
      <c r="G449" s="228"/>
      <c r="H449" s="80"/>
      <c r="J449" s="76"/>
      <c r="L449" s="80"/>
    </row>
    <row r="450" spans="1:12" ht="18.75">
      <c r="A450" s="221"/>
      <c r="B450" s="83" t="s">
        <v>1357</v>
      </c>
      <c r="C450" s="84" t="s">
        <v>1959</v>
      </c>
      <c r="D450" s="79">
        <f>+'Alimentazione CE Costi'!K892</f>
        <v>0</v>
      </c>
      <c r="E450" s="79">
        <f>+'Alimentazione CE Costi'!L892</f>
        <v>0</v>
      </c>
      <c r="F450" s="373"/>
      <c r="G450" s="228"/>
      <c r="H450" s="80"/>
      <c r="J450" s="76"/>
      <c r="L450" s="80"/>
    </row>
    <row r="451" spans="1:12" ht="18.75">
      <c r="A451" s="221"/>
      <c r="B451" s="83" t="s">
        <v>1359</v>
      </c>
      <c r="C451" s="84" t="s">
        <v>1960</v>
      </c>
      <c r="D451" s="79">
        <f>+'Alimentazione CE Costi'!K893</f>
        <v>0</v>
      </c>
      <c r="E451" s="79">
        <f>+'Alimentazione CE Costi'!L893</f>
        <v>0</v>
      </c>
      <c r="F451" s="373"/>
      <c r="G451" s="228"/>
      <c r="H451" s="80"/>
      <c r="J451" s="76"/>
      <c r="L451" s="80"/>
    </row>
    <row r="452" spans="1:12" ht="18.75">
      <c r="A452" s="221"/>
      <c r="B452" s="83" t="s">
        <v>1361</v>
      </c>
      <c r="C452" s="84" t="s">
        <v>1961</v>
      </c>
      <c r="D452" s="79">
        <f>+'Alimentazione CE Costi'!K894</f>
        <v>0</v>
      </c>
      <c r="E452" s="79">
        <f>+'Alimentazione CE Costi'!L894</f>
        <v>0</v>
      </c>
      <c r="F452" s="373"/>
      <c r="G452" s="228"/>
      <c r="H452" s="80"/>
      <c r="J452" s="76"/>
      <c r="L452" s="80"/>
    </row>
    <row r="453" spans="1:12" ht="18.75">
      <c r="A453" s="221"/>
      <c r="B453" s="83" t="s">
        <v>1363</v>
      </c>
      <c r="C453" s="84" t="s">
        <v>1962</v>
      </c>
      <c r="D453" s="79">
        <f>+'Alimentazione CE Costi'!K896+'Alimentazione CE Costi'!K897+'Alimentazione CE Costi'!K898</f>
        <v>0</v>
      </c>
      <c r="E453" s="79">
        <f>+'Alimentazione CE Costi'!L896+'Alimentazione CE Costi'!L897+'Alimentazione CE Costi'!L898</f>
        <v>0</v>
      </c>
      <c r="F453" s="373"/>
      <c r="G453" s="228"/>
      <c r="H453" s="80"/>
      <c r="J453" s="76"/>
      <c r="L453" s="80"/>
    </row>
    <row r="454" spans="1:12" ht="18.75">
      <c r="A454" s="221"/>
      <c r="B454" s="83" t="s">
        <v>1367</v>
      </c>
      <c r="C454" s="84" t="s">
        <v>1963</v>
      </c>
      <c r="D454" s="79">
        <f>+'Alimentazione CE Costi'!K899</f>
        <v>0</v>
      </c>
      <c r="E454" s="79">
        <f>+'Alimentazione CE Costi'!L899</f>
        <v>0</v>
      </c>
      <c r="F454" s="373"/>
      <c r="G454" s="228"/>
      <c r="H454" s="80"/>
      <c r="J454" s="76"/>
      <c r="L454" s="80"/>
    </row>
    <row r="455" spans="1:12" ht="18.75">
      <c r="A455" s="221"/>
      <c r="B455" s="81" t="s">
        <v>1369</v>
      </c>
      <c r="C455" s="82" t="s">
        <v>1964</v>
      </c>
      <c r="D455" s="79">
        <f>+'Alimentazione CE Costi'!K901+'Alimentazione CE Costi'!K902</f>
        <v>0</v>
      </c>
      <c r="E455" s="79">
        <f>+'Alimentazione CE Costi'!L901+'Alimentazione CE Costi'!L902</f>
        <v>0</v>
      </c>
      <c r="F455" s="373"/>
      <c r="G455" s="228"/>
      <c r="H455" s="80"/>
      <c r="J455" s="76"/>
      <c r="L455" s="80"/>
    </row>
    <row r="456" spans="1:12" ht="18.75">
      <c r="A456" s="221"/>
      <c r="B456" s="106" t="s">
        <v>1373</v>
      </c>
      <c r="C456" s="107" t="s">
        <v>1965</v>
      </c>
      <c r="D456" s="105">
        <f t="shared" ref="D456:E456" si="99">SUM(D457:D462)</f>
        <v>4120039.3400000003</v>
      </c>
      <c r="E456" s="105">
        <f t="shared" si="99"/>
        <v>8621523.0700000003</v>
      </c>
      <c r="F456" s="65" t="s">
        <v>2110</v>
      </c>
      <c r="G456" s="228"/>
      <c r="H456" s="80"/>
      <c r="J456" s="76"/>
      <c r="L456" s="80"/>
    </row>
    <row r="457" spans="1:12" ht="25.5">
      <c r="A457" s="221"/>
      <c r="B457" s="83" t="s">
        <v>1375</v>
      </c>
      <c r="C457" s="84" t="s">
        <v>1966</v>
      </c>
      <c r="D457" s="79">
        <f>+'Alimentazione CE Costi'!K904</f>
        <v>0</v>
      </c>
      <c r="E457" s="79">
        <f>+'Alimentazione CE Costi'!L904</f>
        <v>1899013.25</v>
      </c>
      <c r="F457" s="373"/>
      <c r="G457" s="228"/>
      <c r="H457" s="80"/>
      <c r="J457" s="76"/>
      <c r="L457" s="80"/>
    </row>
    <row r="458" spans="1:12" ht="18.75">
      <c r="A458" s="221"/>
      <c r="B458" s="83" t="s">
        <v>1377</v>
      </c>
      <c r="C458" s="84" t="s">
        <v>1967</v>
      </c>
      <c r="D458" s="79">
        <f>+'Alimentazione CE Costi'!K905</f>
        <v>0</v>
      </c>
      <c r="E458" s="79">
        <f>+'Alimentazione CE Costi'!L905</f>
        <v>22412</v>
      </c>
      <c r="F458" s="373"/>
      <c r="G458" s="228"/>
      <c r="H458" s="80"/>
      <c r="J458" s="76"/>
      <c r="L458" s="80"/>
    </row>
    <row r="459" spans="1:12" ht="18.75">
      <c r="A459" s="221"/>
      <c r="B459" s="83" t="s">
        <v>1379</v>
      </c>
      <c r="C459" s="84" t="s">
        <v>1968</v>
      </c>
      <c r="D459" s="79">
        <f>+'Alimentazione CE Costi'!K906</f>
        <v>1236599.32</v>
      </c>
      <c r="E459" s="79">
        <f>+'Alimentazione CE Costi'!L906</f>
        <v>2255302.59</v>
      </c>
      <c r="F459" s="373"/>
      <c r="G459" s="228"/>
      <c r="H459" s="80"/>
      <c r="J459" s="76"/>
      <c r="L459" s="80"/>
    </row>
    <row r="460" spans="1:12" ht="18.75">
      <c r="A460" s="221"/>
      <c r="B460" s="83" t="s">
        <v>1381</v>
      </c>
      <c r="C460" s="84" t="s">
        <v>1969</v>
      </c>
      <c r="D460" s="79">
        <f>+'Alimentazione CE Costi'!K907</f>
        <v>2716219.22</v>
      </c>
      <c r="E460" s="79">
        <f>+'Alimentazione CE Costi'!L907</f>
        <v>2627049</v>
      </c>
      <c r="F460" s="373"/>
      <c r="G460" s="228"/>
      <c r="H460" s="80"/>
      <c r="J460" s="76"/>
      <c r="L460" s="80"/>
    </row>
    <row r="461" spans="1:12" ht="18.75">
      <c r="A461" s="221"/>
      <c r="B461" s="83" t="s">
        <v>1383</v>
      </c>
      <c r="C461" s="84" t="s">
        <v>1970</v>
      </c>
      <c r="D461" s="79">
        <f>+'Alimentazione CE Costi'!K909+'Alimentazione CE Costi'!K910</f>
        <v>91163.200000000012</v>
      </c>
      <c r="E461" s="79">
        <f>+'Alimentazione CE Costi'!L909+'Alimentazione CE Costi'!L910</f>
        <v>1723530.17</v>
      </c>
      <c r="F461" s="373"/>
      <c r="G461" s="228"/>
      <c r="H461" s="80"/>
      <c r="J461" s="76"/>
      <c r="L461" s="80"/>
    </row>
    <row r="462" spans="1:12" ht="18.75">
      <c r="A462" s="221"/>
      <c r="B462" s="83" t="s">
        <v>1387</v>
      </c>
      <c r="C462" s="84" t="s">
        <v>1971</v>
      </c>
      <c r="D462" s="79">
        <f>+'Alimentazione CE Costi'!K911</f>
        <v>76057.600000000006</v>
      </c>
      <c r="E462" s="79">
        <f>+'Alimentazione CE Costi'!L911</f>
        <v>94216.06</v>
      </c>
      <c r="F462" s="373"/>
      <c r="G462" s="228"/>
      <c r="H462" s="80"/>
      <c r="J462" s="76"/>
      <c r="L462" s="80"/>
    </row>
    <row r="463" spans="1:12" ht="18.75">
      <c r="A463" s="221"/>
      <c r="B463" s="106" t="s">
        <v>1389</v>
      </c>
      <c r="C463" s="107" t="s">
        <v>1972</v>
      </c>
      <c r="D463" s="105">
        <f t="shared" ref="D463:E463" si="100">SUM(D464:D473)</f>
        <v>1201974.82</v>
      </c>
      <c r="E463" s="105">
        <f t="shared" si="100"/>
        <v>764953.71</v>
      </c>
      <c r="F463" s="65" t="s">
        <v>2110</v>
      </c>
      <c r="G463" s="228"/>
      <c r="H463" s="80"/>
      <c r="J463" s="76"/>
      <c r="L463" s="80"/>
    </row>
    <row r="464" spans="1:12" ht="18.75">
      <c r="A464" s="221"/>
      <c r="B464" s="94" t="s">
        <v>1391</v>
      </c>
      <c r="C464" s="95" t="s">
        <v>1973</v>
      </c>
      <c r="D464" s="79">
        <f>+'Alimentazione CE Costi'!K913</f>
        <v>0</v>
      </c>
      <c r="E464" s="79">
        <f>+'Alimentazione CE Costi'!L913</f>
        <v>0</v>
      </c>
      <c r="F464" s="373"/>
      <c r="G464" s="228"/>
      <c r="H464" s="80"/>
      <c r="J464" s="76"/>
      <c r="L464" s="80"/>
    </row>
    <row r="465" spans="1:12" ht="18.75">
      <c r="A465" s="221"/>
      <c r="B465" s="94" t="s">
        <v>1393</v>
      </c>
      <c r="C465" s="95" t="s">
        <v>1974</v>
      </c>
      <c r="D465" s="79">
        <f>+'Alimentazione CE Costi'!K914</f>
        <v>0</v>
      </c>
      <c r="E465" s="79">
        <f>+'Alimentazione CE Costi'!L914</f>
        <v>0</v>
      </c>
      <c r="F465" s="373"/>
      <c r="G465" s="228"/>
      <c r="H465" s="80"/>
      <c r="J465" s="76"/>
      <c r="L465" s="80"/>
    </row>
    <row r="466" spans="1:12" ht="18.75">
      <c r="A466" s="221"/>
      <c r="B466" s="94" t="s">
        <v>1395</v>
      </c>
      <c r="C466" s="95" t="s">
        <v>1975</v>
      </c>
      <c r="D466" s="79">
        <f>+'Alimentazione CE Costi'!K915</f>
        <v>947993.97</v>
      </c>
      <c r="E466" s="79">
        <f>+'Alimentazione CE Costi'!L915</f>
        <v>487593.16</v>
      </c>
      <c r="F466" s="373"/>
      <c r="G466" s="228"/>
      <c r="H466" s="80"/>
      <c r="J466" s="76"/>
      <c r="L466" s="80"/>
    </row>
    <row r="467" spans="1:12" ht="18.75">
      <c r="A467" s="221"/>
      <c r="B467" s="83" t="s">
        <v>1397</v>
      </c>
      <c r="C467" s="84" t="s">
        <v>1976</v>
      </c>
      <c r="D467" s="79">
        <f>+'Alimentazione CE Costi'!K916</f>
        <v>72777.84</v>
      </c>
      <c r="E467" s="79">
        <f>+'Alimentazione CE Costi'!L916</f>
        <v>39999.620000000003</v>
      </c>
      <c r="F467" s="373"/>
      <c r="G467" s="228"/>
      <c r="H467" s="80"/>
      <c r="J467" s="76"/>
      <c r="L467" s="80"/>
    </row>
    <row r="468" spans="1:12" ht="18.75">
      <c r="A468" s="221"/>
      <c r="B468" s="83" t="s">
        <v>1399</v>
      </c>
      <c r="C468" s="84" t="s">
        <v>1977</v>
      </c>
      <c r="D468" s="79">
        <f>+'Alimentazione CE Costi'!K917</f>
        <v>0</v>
      </c>
      <c r="E468" s="79">
        <f>+'Alimentazione CE Costi'!L917</f>
        <v>0</v>
      </c>
      <c r="F468" s="373"/>
      <c r="G468" s="228"/>
      <c r="H468" s="80"/>
      <c r="J468" s="76"/>
      <c r="L468" s="80"/>
    </row>
    <row r="469" spans="1:12" ht="18.75">
      <c r="A469" s="221"/>
      <c r="B469" s="83" t="s">
        <v>1401</v>
      </c>
      <c r="C469" s="84" t="s">
        <v>1978</v>
      </c>
      <c r="D469" s="79">
        <f>+'Alimentazione CE Costi'!K918</f>
        <v>0</v>
      </c>
      <c r="E469" s="79">
        <f>+'Alimentazione CE Costi'!L918</f>
        <v>0</v>
      </c>
      <c r="F469" s="373"/>
      <c r="G469" s="228"/>
      <c r="H469" s="80"/>
      <c r="J469" s="76"/>
      <c r="L469" s="80"/>
    </row>
    <row r="470" spans="1:12" ht="18.75">
      <c r="A470" s="221"/>
      <c r="B470" s="83" t="s">
        <v>1403</v>
      </c>
      <c r="C470" s="84" t="s">
        <v>1979</v>
      </c>
      <c r="D470" s="79">
        <f>+'Alimentazione CE Costi'!K919</f>
        <v>54270.7</v>
      </c>
      <c r="E470" s="79">
        <f>+'Alimentazione CE Costi'!L919</f>
        <v>72360.929999999993</v>
      </c>
      <c r="F470" s="373"/>
      <c r="G470" s="228"/>
      <c r="H470" s="80"/>
      <c r="J470" s="76"/>
      <c r="L470" s="80"/>
    </row>
    <row r="471" spans="1:12" ht="18.75">
      <c r="A471" s="221"/>
      <c r="B471" s="83" t="s">
        <v>1405</v>
      </c>
      <c r="C471" s="84" t="s">
        <v>1980</v>
      </c>
      <c r="D471" s="79">
        <f>+'Alimentazione CE Costi'!K920</f>
        <v>0</v>
      </c>
      <c r="E471" s="79">
        <f>+'Alimentazione CE Costi'!L920</f>
        <v>0</v>
      </c>
      <c r="F471" s="373"/>
      <c r="G471" s="228"/>
      <c r="H471" s="80"/>
      <c r="J471" s="76"/>
      <c r="L471" s="80"/>
    </row>
    <row r="472" spans="1:12" ht="18.75">
      <c r="A472" s="221"/>
      <c r="B472" s="83" t="s">
        <v>1407</v>
      </c>
      <c r="C472" s="84" t="s">
        <v>1981</v>
      </c>
      <c r="D472" s="79">
        <f>+'Alimentazione CE Costi'!K921</f>
        <v>126932.31</v>
      </c>
      <c r="E472" s="79">
        <f>+'Alimentazione CE Costi'!L921</f>
        <v>0</v>
      </c>
      <c r="F472" s="373"/>
      <c r="G472" s="228"/>
      <c r="H472" s="80"/>
      <c r="J472" s="76"/>
      <c r="L472" s="80"/>
    </row>
    <row r="473" spans="1:12" ht="18.75">
      <c r="A473" s="221"/>
      <c r="B473" s="94" t="s">
        <v>1408</v>
      </c>
      <c r="C473" s="96" t="s">
        <v>1982</v>
      </c>
      <c r="D473" s="79">
        <f>+'Alimentazione CE Costi'!K922</f>
        <v>0</v>
      </c>
      <c r="E473" s="79">
        <f>+'Alimentazione CE Costi'!L922</f>
        <v>165000</v>
      </c>
      <c r="F473" s="373"/>
      <c r="G473" s="228"/>
      <c r="H473" s="80"/>
      <c r="J473" s="76"/>
      <c r="L473" s="80"/>
    </row>
    <row r="474" spans="1:12" ht="18.75">
      <c r="A474" s="219"/>
      <c r="B474" s="114" t="s">
        <v>1983</v>
      </c>
      <c r="C474" s="115" t="s">
        <v>1984</v>
      </c>
      <c r="D474" s="116">
        <f t="shared" ref="D474:E474" si="101">+D446+D429+D419+D411+D369+D359+D351+D182+D142+D426</f>
        <v>89099637.400000021</v>
      </c>
      <c r="E474" s="116">
        <f t="shared" si="101"/>
        <v>92791292.410000011</v>
      </c>
      <c r="F474" s="65"/>
      <c r="G474" s="228"/>
      <c r="H474" s="80"/>
      <c r="J474" s="76"/>
      <c r="L474" s="80"/>
    </row>
    <row r="475" spans="1:12" ht="18.75">
      <c r="A475" s="219"/>
      <c r="B475" s="127"/>
      <c r="C475" s="128" t="s">
        <v>1985</v>
      </c>
      <c r="D475" s="129"/>
      <c r="E475" s="129"/>
      <c r="F475" s="65"/>
      <c r="G475" s="228"/>
      <c r="H475" s="80"/>
      <c r="J475" s="76"/>
      <c r="L475" s="80"/>
    </row>
    <row r="476" spans="1:12" ht="18.75">
      <c r="A476" s="219"/>
      <c r="B476" s="111" t="s">
        <v>460</v>
      </c>
      <c r="C476" s="112" t="s">
        <v>1986</v>
      </c>
      <c r="D476" s="113">
        <f t="shared" ref="D476:E476" si="102">+D477+D478+D479</f>
        <v>761.38</v>
      </c>
      <c r="E476" s="113">
        <f t="shared" si="102"/>
        <v>1.28</v>
      </c>
      <c r="F476" s="65" t="s">
        <v>2110</v>
      </c>
      <c r="G476" s="228"/>
      <c r="H476" s="80"/>
      <c r="J476" s="76"/>
      <c r="L476" s="80"/>
    </row>
    <row r="477" spans="1:12" ht="18.75">
      <c r="A477" s="219"/>
      <c r="B477" s="81" t="s">
        <v>462</v>
      </c>
      <c r="C477" s="82" t="s">
        <v>1987</v>
      </c>
      <c r="D477" s="79">
        <f>+'Alimentazione CE Ricavi'!K230</f>
        <v>0.08</v>
      </c>
      <c r="E477" s="79">
        <f>+'Alimentazione CE Ricavi'!L230</f>
        <v>7.0000000000000007E-2</v>
      </c>
      <c r="F477" s="65"/>
      <c r="G477" s="228"/>
      <c r="H477" s="80"/>
      <c r="J477" s="76"/>
      <c r="L477" s="80"/>
    </row>
    <row r="478" spans="1:12" ht="18.75">
      <c r="A478" s="219"/>
      <c r="B478" s="81" t="s">
        <v>464</v>
      </c>
      <c r="C478" s="82" t="s">
        <v>1988</v>
      </c>
      <c r="D478" s="79">
        <f>+'Alimentazione CE Ricavi'!K232+'Alimentazione CE Ricavi'!K233</f>
        <v>499.12</v>
      </c>
      <c r="E478" s="79">
        <f>+'Alimentazione CE Ricavi'!L232+'Alimentazione CE Ricavi'!L233</f>
        <v>1.21</v>
      </c>
      <c r="F478" s="65"/>
      <c r="G478" s="228"/>
      <c r="H478" s="80"/>
      <c r="J478" s="76"/>
      <c r="L478" s="80"/>
    </row>
    <row r="479" spans="1:12" ht="18.75">
      <c r="A479" s="219"/>
      <c r="B479" s="81" t="s">
        <v>468</v>
      </c>
      <c r="C479" s="82" t="s">
        <v>1989</v>
      </c>
      <c r="D479" s="79">
        <f>+'Alimentazione CE Ricavi'!K235+'Alimentazione CE Ricavi'!K236+'Alimentazione CE Ricavi'!K237</f>
        <v>262.18</v>
      </c>
      <c r="E479" s="79">
        <f>+'Alimentazione CE Ricavi'!L235+'Alimentazione CE Ricavi'!L236+'Alimentazione CE Ricavi'!L237</f>
        <v>0</v>
      </c>
      <c r="F479" s="65"/>
      <c r="G479" s="228"/>
      <c r="H479" s="80"/>
      <c r="J479" s="76"/>
      <c r="L479" s="80"/>
    </row>
    <row r="480" spans="1:12" ht="18.75">
      <c r="A480" s="219"/>
      <c r="B480" s="111" t="s">
        <v>472</v>
      </c>
      <c r="C480" s="112" t="s">
        <v>1990</v>
      </c>
      <c r="D480" s="113">
        <f t="shared" ref="D480:E480" si="103">SUM(D481:D485)</f>
        <v>0</v>
      </c>
      <c r="E480" s="113">
        <f t="shared" si="103"/>
        <v>0</v>
      </c>
      <c r="F480" s="65" t="s">
        <v>2110</v>
      </c>
      <c r="G480" s="228"/>
      <c r="H480" s="80"/>
      <c r="J480" s="76"/>
      <c r="L480" s="80"/>
    </row>
    <row r="481" spans="1:12" ht="18.75">
      <c r="A481" s="219"/>
      <c r="B481" s="81" t="s">
        <v>474</v>
      </c>
      <c r="C481" s="82" t="s">
        <v>1991</v>
      </c>
      <c r="D481" s="79">
        <f>+'Alimentazione CE Ricavi'!K239</f>
        <v>0</v>
      </c>
      <c r="E481" s="79">
        <f>+'Alimentazione CE Ricavi'!L239</f>
        <v>0</v>
      </c>
      <c r="F481" s="65"/>
      <c r="G481" s="228"/>
      <c r="H481" s="80"/>
      <c r="J481" s="76"/>
      <c r="L481" s="80"/>
    </row>
    <row r="482" spans="1:12" ht="18.75">
      <c r="A482" s="219"/>
      <c r="B482" s="81" t="s">
        <v>476</v>
      </c>
      <c r="C482" s="82" t="s">
        <v>1992</v>
      </c>
      <c r="D482" s="79">
        <f>+'Alimentazione CE Ricavi'!K240</f>
        <v>0</v>
      </c>
      <c r="E482" s="79">
        <f>+'Alimentazione CE Ricavi'!L240</f>
        <v>0</v>
      </c>
      <c r="F482" s="65"/>
      <c r="G482" s="228"/>
      <c r="H482" s="80"/>
      <c r="J482" s="76"/>
      <c r="L482" s="80"/>
    </row>
    <row r="483" spans="1:12" ht="18.75">
      <c r="A483" s="219"/>
      <c r="B483" s="81" t="s">
        <v>478</v>
      </c>
      <c r="C483" s="82" t="s">
        <v>1993</v>
      </c>
      <c r="D483" s="79">
        <f>+'Alimentazione CE Ricavi'!K241</f>
        <v>0</v>
      </c>
      <c r="E483" s="79">
        <f>+'Alimentazione CE Ricavi'!L241</f>
        <v>0</v>
      </c>
      <c r="F483" s="65"/>
      <c r="G483" s="228"/>
      <c r="H483" s="80"/>
      <c r="J483" s="76"/>
      <c r="L483" s="80"/>
    </row>
    <row r="484" spans="1:12" ht="18.75">
      <c r="A484" s="219"/>
      <c r="B484" s="81" t="s">
        <v>480</v>
      </c>
      <c r="C484" s="82" t="s">
        <v>1994</v>
      </c>
      <c r="D484" s="79">
        <f>+'Alimentazione CE Ricavi'!K242</f>
        <v>0</v>
      </c>
      <c r="E484" s="79">
        <f>+'Alimentazione CE Ricavi'!L242</f>
        <v>0</v>
      </c>
      <c r="F484" s="65"/>
      <c r="G484" s="228"/>
      <c r="H484" s="80"/>
      <c r="J484" s="76"/>
      <c r="L484" s="80"/>
    </row>
    <row r="485" spans="1:12" ht="18.75">
      <c r="A485" s="219"/>
      <c r="B485" s="81" t="s">
        <v>482</v>
      </c>
      <c r="C485" s="82" t="s">
        <v>1995</v>
      </c>
      <c r="D485" s="79">
        <f>+'Alimentazione CE Ricavi'!K243</f>
        <v>0</v>
      </c>
      <c r="E485" s="79">
        <f>+'Alimentazione CE Ricavi'!L243</f>
        <v>0</v>
      </c>
      <c r="F485" s="65"/>
      <c r="G485" s="228"/>
      <c r="H485" s="80"/>
      <c r="J485" s="76"/>
      <c r="L485" s="80"/>
    </row>
    <row r="486" spans="1:12" ht="18.75">
      <c r="A486" s="219"/>
      <c r="B486" s="111" t="s">
        <v>1410</v>
      </c>
      <c r="C486" s="112" t="s">
        <v>1996</v>
      </c>
      <c r="D486" s="113">
        <f t="shared" ref="D486:E486" si="104">SUM(D487:D489)</f>
        <v>0</v>
      </c>
      <c r="E486" s="113">
        <f t="shared" si="104"/>
        <v>0</v>
      </c>
      <c r="F486" s="65" t="s">
        <v>2110</v>
      </c>
      <c r="G486" s="228"/>
      <c r="H486" s="80"/>
      <c r="J486" s="76"/>
      <c r="L486" s="80"/>
    </row>
    <row r="487" spans="1:12" ht="18.75">
      <c r="A487" s="219"/>
      <c r="B487" s="81" t="s">
        <v>1412</v>
      </c>
      <c r="C487" s="82" t="s">
        <v>1997</v>
      </c>
      <c r="D487" s="79">
        <f>+'Alimentazione CE Costi'!K924</f>
        <v>0</v>
      </c>
      <c r="E487" s="79">
        <f>+'Alimentazione CE Costi'!L924</f>
        <v>0</v>
      </c>
      <c r="F487" s="65"/>
      <c r="G487" s="228"/>
      <c r="H487" s="80"/>
      <c r="J487" s="76"/>
      <c r="L487" s="80"/>
    </row>
    <row r="488" spans="1:12" ht="18.75">
      <c r="A488" s="219"/>
      <c r="B488" s="81" t="s">
        <v>1414</v>
      </c>
      <c r="C488" s="82" t="s">
        <v>1998</v>
      </c>
      <c r="D488" s="79">
        <f>+'Alimentazione CE Costi'!K925</f>
        <v>0</v>
      </c>
      <c r="E488" s="79">
        <f>+'Alimentazione CE Costi'!L925</f>
        <v>0</v>
      </c>
      <c r="F488" s="65"/>
      <c r="G488" s="228"/>
      <c r="H488" s="80"/>
      <c r="J488" s="76"/>
      <c r="L488" s="80"/>
    </row>
    <row r="489" spans="1:12" ht="18.75">
      <c r="A489" s="219"/>
      <c r="B489" s="81" t="s">
        <v>1416</v>
      </c>
      <c r="C489" s="82" t="s">
        <v>1999</v>
      </c>
      <c r="D489" s="79">
        <f>+'Alimentazione CE Costi'!K927+'Alimentazione CE Costi'!K928</f>
        <v>0</v>
      </c>
      <c r="E489" s="79">
        <f>+'Alimentazione CE Costi'!L927+'Alimentazione CE Costi'!L928</f>
        <v>0</v>
      </c>
      <c r="F489" s="65"/>
      <c r="G489" s="228"/>
      <c r="H489" s="80"/>
      <c r="J489" s="76"/>
      <c r="L489" s="80"/>
    </row>
    <row r="490" spans="1:12" ht="18.75">
      <c r="A490" s="219"/>
      <c r="B490" s="111" t="s">
        <v>2000</v>
      </c>
      <c r="C490" s="112" t="s">
        <v>2001</v>
      </c>
      <c r="D490" s="113">
        <f t="shared" ref="D490:E490" si="105">SUM(D491:D492)</f>
        <v>0</v>
      </c>
      <c r="E490" s="113">
        <f t="shared" si="105"/>
        <v>0</v>
      </c>
      <c r="F490" s="65" t="s">
        <v>2110</v>
      </c>
      <c r="G490" s="228"/>
      <c r="H490" s="80"/>
      <c r="J490" s="76"/>
      <c r="L490" s="80"/>
    </row>
    <row r="491" spans="1:12" ht="18.75">
      <c r="A491" s="219"/>
      <c r="B491" s="81" t="s">
        <v>1419</v>
      </c>
      <c r="C491" s="82" t="s">
        <v>2002</v>
      </c>
      <c r="D491" s="79">
        <f>+'Alimentazione CE Costi'!K930</f>
        <v>0</v>
      </c>
      <c r="E491" s="79">
        <f>+'Alimentazione CE Costi'!L930</f>
        <v>0</v>
      </c>
      <c r="F491" s="65"/>
      <c r="G491" s="228"/>
      <c r="H491" s="80"/>
      <c r="J491" s="76"/>
      <c r="L491" s="80"/>
    </row>
    <row r="492" spans="1:12" ht="18.75">
      <c r="A492" s="219"/>
      <c r="B492" s="81" t="s">
        <v>1421</v>
      </c>
      <c r="C492" s="82" t="s">
        <v>2003</v>
      </c>
      <c r="D492" s="79">
        <f>+'Alimentazione CE Costi'!K931</f>
        <v>0</v>
      </c>
      <c r="E492" s="79">
        <f>+'Alimentazione CE Costi'!L931</f>
        <v>0</v>
      </c>
      <c r="F492" s="65"/>
      <c r="G492" s="228"/>
      <c r="H492" s="80"/>
      <c r="J492" s="76"/>
      <c r="L492" s="80"/>
    </row>
    <row r="493" spans="1:12" ht="18.75">
      <c r="A493" s="219"/>
      <c r="B493" s="114" t="s">
        <v>2004</v>
      </c>
      <c r="C493" s="115" t="s">
        <v>2005</v>
      </c>
      <c r="D493" s="116">
        <f t="shared" ref="D493:E493" si="106">+D476+D480-D486-D490</f>
        <v>761.38</v>
      </c>
      <c r="E493" s="116">
        <f t="shared" si="106"/>
        <v>1.28</v>
      </c>
      <c r="F493" s="65" t="s">
        <v>2110</v>
      </c>
      <c r="G493" s="228"/>
      <c r="H493" s="80"/>
      <c r="J493" s="76"/>
      <c r="L493" s="80"/>
    </row>
    <row r="494" spans="1:12" ht="18.75">
      <c r="A494" s="219"/>
      <c r="B494" s="127"/>
      <c r="C494" s="128" t="s">
        <v>2006</v>
      </c>
      <c r="D494" s="129"/>
      <c r="E494" s="129"/>
      <c r="F494" s="65"/>
      <c r="G494" s="228"/>
      <c r="H494" s="80"/>
      <c r="J494" s="76"/>
      <c r="L494" s="80"/>
    </row>
    <row r="495" spans="1:12" ht="18.75">
      <c r="A495" s="219"/>
      <c r="B495" s="77" t="s">
        <v>484</v>
      </c>
      <c r="C495" s="78" t="s">
        <v>2007</v>
      </c>
      <c r="D495" s="79">
        <f>+'Alimentazione CE Ricavi'!K244</f>
        <v>0</v>
      </c>
      <c r="E495" s="79">
        <f>+'Alimentazione CE Ricavi'!L244</f>
        <v>0</v>
      </c>
      <c r="F495" s="65"/>
      <c r="G495" s="228"/>
      <c r="H495" s="80"/>
      <c r="J495" s="76"/>
      <c r="L495" s="80"/>
    </row>
    <row r="496" spans="1:12" ht="18.75">
      <c r="A496" s="219"/>
      <c r="B496" s="77" t="s">
        <v>1423</v>
      </c>
      <c r="C496" s="78" t="s">
        <v>2008</v>
      </c>
      <c r="D496" s="79">
        <f>+'Alimentazione CE Costi'!K932</f>
        <v>0</v>
      </c>
      <c r="E496" s="79">
        <f>+'Alimentazione CE Costi'!L932</f>
        <v>0</v>
      </c>
      <c r="F496" s="65"/>
      <c r="G496" s="228"/>
      <c r="H496" s="80"/>
      <c r="J496" s="76"/>
      <c r="L496" s="80"/>
    </row>
    <row r="497" spans="1:12" ht="18.75">
      <c r="A497" s="219"/>
      <c r="B497" s="114" t="s">
        <v>2009</v>
      </c>
      <c r="C497" s="115" t="s">
        <v>2010</v>
      </c>
      <c r="D497" s="116">
        <f t="shared" ref="D497:E497" si="107">+D495-D496</f>
        <v>0</v>
      </c>
      <c r="E497" s="116">
        <f t="shared" si="107"/>
        <v>0</v>
      </c>
      <c r="F497" s="65" t="s">
        <v>2110</v>
      </c>
      <c r="G497" s="228"/>
      <c r="H497" s="80"/>
      <c r="J497" s="76"/>
      <c r="L497" s="80"/>
    </row>
    <row r="498" spans="1:12" ht="18.75">
      <c r="A498" s="219"/>
      <c r="B498" s="127"/>
      <c r="C498" s="128" t="s">
        <v>2011</v>
      </c>
      <c r="D498" s="129"/>
      <c r="E498" s="129"/>
      <c r="F498" s="65"/>
      <c r="G498" s="228"/>
      <c r="H498" s="80"/>
      <c r="J498" s="76"/>
      <c r="L498" s="80"/>
    </row>
    <row r="499" spans="1:12" ht="18.75">
      <c r="A499" s="219"/>
      <c r="B499" s="111" t="s">
        <v>485</v>
      </c>
      <c r="C499" s="112" t="s">
        <v>2012</v>
      </c>
      <c r="D499" s="113">
        <f t="shared" ref="D499:E499" si="108">+D500+D501</f>
        <v>642915.13</v>
      </c>
      <c r="E499" s="113">
        <f t="shared" si="108"/>
        <v>1396100.1199999999</v>
      </c>
      <c r="F499" s="65" t="s">
        <v>2110</v>
      </c>
      <c r="G499" s="228"/>
      <c r="H499" s="80"/>
      <c r="J499" s="76"/>
      <c r="L499" s="80"/>
    </row>
    <row r="500" spans="1:12" ht="18.75">
      <c r="A500" s="219"/>
      <c r="B500" s="81" t="s">
        <v>487</v>
      </c>
      <c r="C500" s="82" t="s">
        <v>2013</v>
      </c>
      <c r="D500" s="79">
        <f>+'Alimentazione CE Ricavi'!K246</f>
        <v>0</v>
      </c>
      <c r="E500" s="79">
        <f>+'Alimentazione CE Ricavi'!L246</f>
        <v>0</v>
      </c>
      <c r="F500" s="65"/>
      <c r="G500" s="228"/>
      <c r="H500" s="80"/>
      <c r="J500" s="76"/>
      <c r="L500" s="80"/>
    </row>
    <row r="501" spans="1:12" ht="18.75">
      <c r="A501" s="219"/>
      <c r="B501" s="106" t="s">
        <v>489</v>
      </c>
      <c r="C501" s="107" t="s">
        <v>2014</v>
      </c>
      <c r="D501" s="105">
        <f t="shared" ref="D501:E501" si="109">+D502+D503+D514+D524</f>
        <v>642915.13</v>
      </c>
      <c r="E501" s="105">
        <f t="shared" si="109"/>
        <v>1396100.1199999999</v>
      </c>
      <c r="F501" s="65" t="s">
        <v>2110</v>
      </c>
      <c r="G501" s="228"/>
      <c r="H501" s="80"/>
      <c r="J501" s="76"/>
      <c r="L501" s="80"/>
    </row>
    <row r="502" spans="1:12" ht="18.75">
      <c r="A502" s="219"/>
      <c r="B502" s="83" t="s">
        <v>491</v>
      </c>
      <c r="C502" s="84" t="s">
        <v>2015</v>
      </c>
      <c r="D502" s="79">
        <f>+'Alimentazione CE Ricavi'!K248</f>
        <v>18228.810000000001</v>
      </c>
      <c r="E502" s="79">
        <f>+'Alimentazione CE Ricavi'!L248</f>
        <v>8830</v>
      </c>
      <c r="F502" s="65"/>
      <c r="G502" s="228"/>
      <c r="H502" s="80"/>
      <c r="J502" s="76"/>
      <c r="L502" s="80"/>
    </row>
    <row r="503" spans="1:12" ht="18.75">
      <c r="A503" s="219"/>
      <c r="B503" s="117" t="s">
        <v>493</v>
      </c>
      <c r="C503" s="118" t="s">
        <v>2016</v>
      </c>
      <c r="D503" s="119">
        <f t="shared" ref="D503:E503" si="110">+D504+D505+D506</f>
        <v>117132.68</v>
      </c>
      <c r="E503" s="119">
        <f t="shared" si="110"/>
        <v>1325937.25</v>
      </c>
      <c r="F503" s="65" t="s">
        <v>2110</v>
      </c>
      <c r="G503" s="228"/>
      <c r="H503" s="80"/>
      <c r="J503" s="76"/>
      <c r="L503" s="80"/>
    </row>
    <row r="504" spans="1:12" ht="18.75">
      <c r="A504" s="221"/>
      <c r="B504" s="83" t="s">
        <v>495</v>
      </c>
      <c r="C504" s="84" t="s">
        <v>2017</v>
      </c>
      <c r="D504" s="79">
        <f>+'Alimentazione CE Ricavi'!K250</f>
        <v>0</v>
      </c>
      <c r="E504" s="79">
        <f>+'Alimentazione CE Ricavi'!L250</f>
        <v>786949.67</v>
      </c>
      <c r="F504" s="373"/>
      <c r="G504" s="228"/>
      <c r="H504" s="80"/>
      <c r="J504" s="76"/>
      <c r="L504" s="80"/>
    </row>
    <row r="505" spans="1:12" ht="18.75">
      <c r="A505" s="221" t="s">
        <v>1522</v>
      </c>
      <c r="B505" s="83" t="s">
        <v>497</v>
      </c>
      <c r="C505" s="84" t="s">
        <v>2018</v>
      </c>
      <c r="D505" s="79">
        <f>+'Alimentazione CE Ricavi'!K251</f>
        <v>0</v>
      </c>
      <c r="E505" s="79">
        <f>+'Alimentazione CE Ricavi'!L251</f>
        <v>820.19</v>
      </c>
      <c r="F505" s="373"/>
      <c r="G505" s="228"/>
      <c r="H505" s="80"/>
      <c r="J505" s="76"/>
      <c r="L505" s="80"/>
    </row>
    <row r="506" spans="1:12" ht="18.75">
      <c r="A506" s="221"/>
      <c r="B506" s="123" t="s">
        <v>499</v>
      </c>
      <c r="C506" s="124" t="s">
        <v>2019</v>
      </c>
      <c r="D506" s="122">
        <f t="shared" ref="D506:E506" si="111">SUM(D507:D513)</f>
        <v>117132.68</v>
      </c>
      <c r="E506" s="122">
        <f t="shared" si="111"/>
        <v>538167.39</v>
      </c>
      <c r="F506" s="65" t="s">
        <v>2110</v>
      </c>
      <c r="G506" s="228"/>
      <c r="H506" s="80"/>
      <c r="J506" s="76"/>
      <c r="L506" s="80"/>
    </row>
    <row r="507" spans="1:12" ht="18.75">
      <c r="A507" s="221" t="s">
        <v>1567</v>
      </c>
      <c r="B507" s="85" t="s">
        <v>501</v>
      </c>
      <c r="C507" s="86" t="s">
        <v>2020</v>
      </c>
      <c r="D507" s="79">
        <f>+'Alimentazione CE Ricavi'!K253</f>
        <v>0</v>
      </c>
      <c r="E507" s="79">
        <f>+'Alimentazione CE Ricavi'!L253</f>
        <v>0</v>
      </c>
      <c r="F507" s="373"/>
      <c r="G507" s="228"/>
      <c r="H507" s="80"/>
      <c r="J507" s="76"/>
      <c r="L507" s="80"/>
    </row>
    <row r="508" spans="1:12" ht="18.75">
      <c r="A508" s="221"/>
      <c r="B508" s="85" t="s">
        <v>503</v>
      </c>
      <c r="C508" s="86" t="s">
        <v>2021</v>
      </c>
      <c r="D508" s="79">
        <f>+'Alimentazione CE Ricavi'!K254</f>
        <v>4635.9799999999996</v>
      </c>
      <c r="E508" s="79">
        <f>+'Alimentazione CE Ricavi'!L254</f>
        <v>16731.21</v>
      </c>
      <c r="F508" s="373"/>
      <c r="G508" s="228"/>
      <c r="H508" s="80"/>
      <c r="J508" s="76"/>
      <c r="L508" s="80"/>
    </row>
    <row r="509" spans="1:12" ht="18.75">
      <c r="A509" s="221"/>
      <c r="B509" s="85" t="s">
        <v>505</v>
      </c>
      <c r="C509" s="86" t="s">
        <v>2022</v>
      </c>
      <c r="D509" s="79">
        <f>+'Alimentazione CE Ricavi'!K255</f>
        <v>0</v>
      </c>
      <c r="E509" s="79">
        <f>+'Alimentazione CE Ricavi'!L255</f>
        <v>0</v>
      </c>
      <c r="F509" s="373"/>
      <c r="G509" s="228"/>
      <c r="H509" s="80"/>
      <c r="J509" s="76"/>
      <c r="L509" s="80"/>
    </row>
    <row r="510" spans="1:12" ht="18.75">
      <c r="A510" s="221"/>
      <c r="B510" s="85" t="s">
        <v>507</v>
      </c>
      <c r="C510" s="86" t="s">
        <v>2023</v>
      </c>
      <c r="D510" s="79">
        <f>+'Alimentazione CE Ricavi'!K256</f>
        <v>0</v>
      </c>
      <c r="E510" s="79">
        <f>+'Alimentazione CE Ricavi'!L256</f>
        <v>0</v>
      </c>
      <c r="F510" s="373"/>
      <c r="G510" s="228"/>
      <c r="H510" s="80"/>
      <c r="J510" s="76"/>
      <c r="L510" s="80"/>
    </row>
    <row r="511" spans="1:12" ht="18.75">
      <c r="A511" s="221"/>
      <c r="B511" s="85" t="s">
        <v>509</v>
      </c>
      <c r="C511" s="86" t="s">
        <v>2024</v>
      </c>
      <c r="D511" s="79">
        <f>+'Alimentazione CE Ricavi'!K257</f>
        <v>0</v>
      </c>
      <c r="E511" s="79">
        <f>+'Alimentazione CE Ricavi'!L257</f>
        <v>0</v>
      </c>
      <c r="F511" s="373"/>
      <c r="G511" s="228"/>
      <c r="H511" s="80"/>
      <c r="J511" s="76"/>
      <c r="L511" s="80"/>
    </row>
    <row r="512" spans="1:12" ht="18.75">
      <c r="A512" s="221"/>
      <c r="B512" s="85" t="s">
        <v>511</v>
      </c>
      <c r="C512" s="86" t="s">
        <v>2025</v>
      </c>
      <c r="D512" s="79">
        <f>+'Alimentazione CE Ricavi'!K258</f>
        <v>862.89</v>
      </c>
      <c r="E512" s="79">
        <f>+'Alimentazione CE Ricavi'!L258</f>
        <v>0</v>
      </c>
      <c r="F512" s="373"/>
      <c r="G512" s="228"/>
      <c r="H512" s="80"/>
      <c r="J512" s="76"/>
      <c r="L512" s="80"/>
    </row>
    <row r="513" spans="1:12" ht="18.75">
      <c r="A513" s="221"/>
      <c r="B513" s="85" t="s">
        <v>513</v>
      </c>
      <c r="C513" s="86" t="s">
        <v>2026</v>
      </c>
      <c r="D513" s="79">
        <f>+'Alimentazione CE Ricavi'!K259</f>
        <v>111633.81</v>
      </c>
      <c r="E513" s="79">
        <f>+'Alimentazione CE Ricavi'!L259</f>
        <v>521436.18</v>
      </c>
      <c r="F513" s="373"/>
      <c r="G513" s="228"/>
      <c r="H513" s="80"/>
      <c r="J513" s="76"/>
      <c r="L513" s="80"/>
    </row>
    <row r="514" spans="1:12" ht="18.75">
      <c r="A514" s="221"/>
      <c r="B514" s="117" t="s">
        <v>2027</v>
      </c>
      <c r="C514" s="118" t="s">
        <v>2028</v>
      </c>
      <c r="D514" s="119">
        <f t="shared" ref="D514:E514" si="112">+D515+D516</f>
        <v>507532.97000000003</v>
      </c>
      <c r="E514" s="119">
        <f t="shared" si="112"/>
        <v>61312.24</v>
      </c>
      <c r="F514" s="65" t="s">
        <v>2110</v>
      </c>
      <c r="G514" s="228"/>
      <c r="H514" s="80"/>
      <c r="J514" s="76"/>
      <c r="L514" s="80"/>
    </row>
    <row r="515" spans="1:12" ht="18.75">
      <c r="A515" s="219" t="s">
        <v>1522</v>
      </c>
      <c r="B515" s="83" t="s">
        <v>516</v>
      </c>
      <c r="C515" s="84" t="s">
        <v>2029</v>
      </c>
      <c r="D515" s="79">
        <f>+'Alimentazione CE Ricavi'!K261</f>
        <v>130.63999999999999</v>
      </c>
      <c r="E515" s="79">
        <f>+'Alimentazione CE Ricavi'!L261</f>
        <v>1633.88</v>
      </c>
      <c r="F515" s="65"/>
      <c r="G515" s="228"/>
      <c r="H515" s="80"/>
      <c r="J515" s="76"/>
      <c r="L515" s="80"/>
    </row>
    <row r="516" spans="1:12" ht="18.75">
      <c r="A516" s="219"/>
      <c r="B516" s="123" t="s">
        <v>2030</v>
      </c>
      <c r="C516" s="124" t="s">
        <v>2031</v>
      </c>
      <c r="D516" s="122">
        <f t="shared" ref="D516:E516" si="113">SUM(D517:D523)</f>
        <v>507402.33</v>
      </c>
      <c r="E516" s="122">
        <f t="shared" si="113"/>
        <v>59678.36</v>
      </c>
      <c r="F516" s="65" t="s">
        <v>2110</v>
      </c>
      <c r="G516" s="228"/>
      <c r="H516" s="80"/>
      <c r="J516" s="76"/>
      <c r="L516" s="80"/>
    </row>
    <row r="517" spans="1:12" ht="18.75">
      <c r="A517" s="219" t="s">
        <v>1567</v>
      </c>
      <c r="B517" s="85" t="s">
        <v>519</v>
      </c>
      <c r="C517" s="86" t="s">
        <v>2032</v>
      </c>
      <c r="D517" s="79">
        <f>+'Alimentazione CE Ricavi'!K263</f>
        <v>407107.62</v>
      </c>
      <c r="E517" s="79">
        <f>+'Alimentazione CE Ricavi'!L263</f>
        <v>0</v>
      </c>
      <c r="F517" s="65"/>
      <c r="G517" s="228"/>
      <c r="H517" s="80"/>
      <c r="J517" s="76"/>
      <c r="L517" s="80"/>
    </row>
    <row r="518" spans="1:12" ht="18.75">
      <c r="A518" s="219"/>
      <c r="B518" s="85" t="s">
        <v>521</v>
      </c>
      <c r="C518" s="86" t="s">
        <v>2033</v>
      </c>
      <c r="D518" s="79">
        <f>+'Alimentazione CE Ricavi'!K264</f>
        <v>35878.17</v>
      </c>
      <c r="E518" s="79">
        <f>+'Alimentazione CE Ricavi'!L264</f>
        <v>21145.55</v>
      </c>
      <c r="F518" s="65"/>
      <c r="G518" s="228"/>
      <c r="H518" s="80"/>
      <c r="J518" s="76"/>
      <c r="L518" s="80"/>
    </row>
    <row r="519" spans="1:12" ht="18.75">
      <c r="A519" s="219"/>
      <c r="B519" s="85" t="s">
        <v>523</v>
      </c>
      <c r="C519" s="86" t="s">
        <v>2034</v>
      </c>
      <c r="D519" s="79">
        <f>+'Alimentazione CE Ricavi'!K265</f>
        <v>0</v>
      </c>
      <c r="E519" s="79">
        <f>+'Alimentazione CE Ricavi'!L265</f>
        <v>0</v>
      </c>
      <c r="F519" s="65"/>
      <c r="G519" s="228"/>
      <c r="H519" s="80"/>
      <c r="J519" s="76"/>
      <c r="L519" s="80"/>
    </row>
    <row r="520" spans="1:12" ht="18.75">
      <c r="A520" s="219"/>
      <c r="B520" s="85" t="s">
        <v>525</v>
      </c>
      <c r="C520" s="86" t="s">
        <v>2035</v>
      </c>
      <c r="D520" s="79">
        <f>+'Alimentazione CE Ricavi'!K266</f>
        <v>0</v>
      </c>
      <c r="E520" s="79">
        <f>+'Alimentazione CE Ricavi'!L266</f>
        <v>0</v>
      </c>
      <c r="F520" s="65"/>
      <c r="G520" s="228"/>
      <c r="H520" s="80"/>
      <c r="J520" s="76"/>
      <c r="L520" s="80"/>
    </row>
    <row r="521" spans="1:12" ht="18.75">
      <c r="A521" s="219"/>
      <c r="B521" s="85" t="s">
        <v>527</v>
      </c>
      <c r="C521" s="86" t="s">
        <v>2036</v>
      </c>
      <c r="D521" s="79">
        <f>+'Alimentazione CE Ricavi'!K267</f>
        <v>0</v>
      </c>
      <c r="E521" s="79">
        <f>+'Alimentazione CE Ricavi'!L267</f>
        <v>0</v>
      </c>
      <c r="F521" s="65"/>
      <c r="G521" s="228"/>
      <c r="H521" s="80"/>
      <c r="J521" s="76"/>
      <c r="L521" s="80"/>
    </row>
    <row r="522" spans="1:12" ht="18.75">
      <c r="A522" s="219"/>
      <c r="B522" s="85" t="s">
        <v>529</v>
      </c>
      <c r="C522" s="86" t="s">
        <v>2037</v>
      </c>
      <c r="D522" s="79">
        <f>+'Alimentazione CE Ricavi'!K268</f>
        <v>5526.09</v>
      </c>
      <c r="E522" s="79">
        <f>+'Alimentazione CE Ricavi'!L268</f>
        <v>0</v>
      </c>
      <c r="F522" s="65"/>
      <c r="G522" s="228"/>
      <c r="H522" s="80"/>
      <c r="J522" s="76"/>
      <c r="L522" s="80"/>
    </row>
    <row r="523" spans="1:12" ht="18.75">
      <c r="A523" s="219"/>
      <c r="B523" s="85" t="s">
        <v>531</v>
      </c>
      <c r="C523" s="86" t="s">
        <v>2038</v>
      </c>
      <c r="D523" s="79">
        <f>+'Alimentazione CE Ricavi'!K269</f>
        <v>58890.45</v>
      </c>
      <c r="E523" s="79">
        <f>+'Alimentazione CE Ricavi'!L269</f>
        <v>38532.81</v>
      </c>
      <c r="F523" s="65"/>
      <c r="G523" s="228"/>
      <c r="H523" s="80"/>
      <c r="J523" s="76"/>
      <c r="L523" s="80"/>
    </row>
    <row r="524" spans="1:12" ht="18.75">
      <c r="A524" s="219"/>
      <c r="B524" s="83" t="s">
        <v>532</v>
      </c>
      <c r="C524" s="84" t="s">
        <v>2039</v>
      </c>
      <c r="D524" s="79">
        <f>+'Alimentazione CE Ricavi'!K270</f>
        <v>20.67</v>
      </c>
      <c r="E524" s="79">
        <f>+'Alimentazione CE Ricavi'!L270</f>
        <v>20.63</v>
      </c>
      <c r="F524" s="65"/>
      <c r="G524" s="228"/>
      <c r="H524" s="80"/>
      <c r="J524" s="76"/>
      <c r="L524" s="80"/>
    </row>
    <row r="525" spans="1:12" ht="18.75">
      <c r="A525" s="219"/>
      <c r="B525" s="111" t="s">
        <v>1424</v>
      </c>
      <c r="C525" s="112" t="s">
        <v>2040</v>
      </c>
      <c r="D525" s="113">
        <f t="shared" ref="D525:E525" si="114">+D526+D527</f>
        <v>3928444.63</v>
      </c>
      <c r="E525" s="113">
        <f t="shared" si="114"/>
        <v>314458.70999999996</v>
      </c>
      <c r="F525" s="65"/>
      <c r="G525" s="228"/>
      <c r="H525" s="80"/>
      <c r="J525" s="76"/>
      <c r="L525" s="80"/>
    </row>
    <row r="526" spans="1:12" ht="18.75">
      <c r="A526" s="219"/>
      <c r="B526" s="81" t="s">
        <v>1426</v>
      </c>
      <c r="C526" s="82" t="s">
        <v>2041</v>
      </c>
      <c r="D526" s="79">
        <f>+'Alimentazione CE Costi'!K934</f>
        <v>3390.8</v>
      </c>
      <c r="E526" s="79">
        <f>+'Alimentazione CE Costi'!L934</f>
        <v>0</v>
      </c>
      <c r="F526" s="65"/>
      <c r="G526" s="228"/>
      <c r="H526" s="80"/>
      <c r="J526" s="76"/>
      <c r="L526" s="80"/>
    </row>
    <row r="527" spans="1:12" ht="18.75">
      <c r="A527" s="219"/>
      <c r="B527" s="106" t="s">
        <v>1428</v>
      </c>
      <c r="C527" s="107" t="s">
        <v>2042</v>
      </c>
      <c r="D527" s="105">
        <f t="shared" ref="D527:E527" si="115">+D528+D529+D530+D545+D556</f>
        <v>3925053.83</v>
      </c>
      <c r="E527" s="105">
        <f t="shared" si="115"/>
        <v>314458.70999999996</v>
      </c>
      <c r="F527" s="65"/>
      <c r="G527" s="228"/>
      <c r="H527" s="80"/>
      <c r="J527" s="76"/>
      <c r="L527" s="80"/>
    </row>
    <row r="528" spans="1:12" ht="18.75">
      <c r="A528" s="219"/>
      <c r="B528" s="83" t="s">
        <v>1430</v>
      </c>
      <c r="C528" s="84" t="s">
        <v>2043</v>
      </c>
      <c r="D528" s="79">
        <f>+'Alimentazione CE Costi'!K936</f>
        <v>0</v>
      </c>
      <c r="E528" s="79">
        <f>+'Alimentazione CE Costi'!L936</f>
        <v>0</v>
      </c>
      <c r="F528" s="65"/>
      <c r="G528" s="228"/>
      <c r="H528" s="80"/>
      <c r="J528" s="76"/>
      <c r="L528" s="80"/>
    </row>
    <row r="529" spans="1:12" ht="18.75">
      <c r="A529" s="219"/>
      <c r="B529" s="83" t="s">
        <v>1432</v>
      </c>
      <c r="C529" s="84" t="s">
        <v>2044</v>
      </c>
      <c r="D529" s="79">
        <f>+'Alimentazione CE Costi'!K937</f>
        <v>0</v>
      </c>
      <c r="E529" s="79">
        <f>+'Alimentazione CE Costi'!L937</f>
        <v>0</v>
      </c>
      <c r="F529" s="65"/>
      <c r="G529" s="228"/>
      <c r="H529" s="80"/>
      <c r="J529" s="76"/>
      <c r="L529" s="80"/>
    </row>
    <row r="530" spans="1:12" ht="18.75">
      <c r="A530" s="219"/>
      <c r="B530" s="117" t="s">
        <v>1434</v>
      </c>
      <c r="C530" s="118" t="s">
        <v>2045</v>
      </c>
      <c r="D530" s="119">
        <f t="shared" ref="D530:E530" si="116">+D531+D534</f>
        <v>1987720.07</v>
      </c>
      <c r="E530" s="119">
        <f t="shared" si="116"/>
        <v>272398.94999999995</v>
      </c>
      <c r="F530" s="65"/>
      <c r="G530" s="228"/>
      <c r="H530" s="80"/>
      <c r="J530" s="76"/>
      <c r="L530" s="80"/>
    </row>
    <row r="531" spans="1:12" ht="18.75">
      <c r="A531" s="219" t="s">
        <v>1522</v>
      </c>
      <c r="B531" s="123" t="s">
        <v>1436</v>
      </c>
      <c r="C531" s="124" t="s">
        <v>2046</v>
      </c>
      <c r="D531" s="122">
        <f t="shared" ref="D531:E531" si="117">+D532+D533</f>
        <v>1795337.27</v>
      </c>
      <c r="E531" s="122">
        <f t="shared" si="117"/>
        <v>700.8</v>
      </c>
      <c r="F531" s="65"/>
      <c r="G531" s="228"/>
      <c r="H531" s="80"/>
      <c r="J531" s="76"/>
      <c r="L531" s="80"/>
    </row>
    <row r="532" spans="1:12" ht="18.75">
      <c r="A532" s="219" t="s">
        <v>1522</v>
      </c>
      <c r="B532" s="85" t="s">
        <v>1438</v>
      </c>
      <c r="C532" s="86" t="s">
        <v>2047</v>
      </c>
      <c r="D532" s="79">
        <f>+'Alimentazione CE Costi'!K940</f>
        <v>0</v>
      </c>
      <c r="E532" s="79">
        <f>+'Alimentazione CE Costi'!L940</f>
        <v>0</v>
      </c>
      <c r="F532" s="65"/>
      <c r="G532" s="228"/>
      <c r="H532" s="80"/>
      <c r="J532" s="76"/>
      <c r="L532" s="80"/>
    </row>
    <row r="533" spans="1:12" ht="18.75">
      <c r="A533" s="219" t="s">
        <v>1522</v>
      </c>
      <c r="B533" s="85" t="s">
        <v>1440</v>
      </c>
      <c r="C533" s="86" t="s">
        <v>2048</v>
      </c>
      <c r="D533" s="79">
        <f>+'Alimentazione CE Costi'!K941</f>
        <v>1795337.27</v>
      </c>
      <c r="E533" s="79">
        <f>+'Alimentazione CE Costi'!L941</f>
        <v>700.8</v>
      </c>
      <c r="F533" s="65"/>
      <c r="G533" s="228"/>
      <c r="H533" s="80"/>
      <c r="J533" s="76"/>
      <c r="L533" s="80"/>
    </row>
    <row r="534" spans="1:12" ht="18.75">
      <c r="A534" s="219"/>
      <c r="B534" s="123" t="s">
        <v>1442</v>
      </c>
      <c r="C534" s="124" t="s">
        <v>2049</v>
      </c>
      <c r="D534" s="122">
        <f t="shared" ref="D534:E534" si="118">+D535+D536+D540+D541+D542+D543+D544</f>
        <v>192382.8</v>
      </c>
      <c r="E534" s="122">
        <f t="shared" si="118"/>
        <v>271698.14999999997</v>
      </c>
      <c r="F534" s="65"/>
      <c r="G534" s="228"/>
      <c r="H534" s="80"/>
      <c r="J534" s="76"/>
      <c r="L534" s="80"/>
    </row>
    <row r="535" spans="1:12" ht="18.75">
      <c r="A535" s="219" t="s">
        <v>1567</v>
      </c>
      <c r="B535" s="85" t="s">
        <v>1444</v>
      </c>
      <c r="C535" s="86" t="s">
        <v>2050</v>
      </c>
      <c r="D535" s="79">
        <f>+'Alimentazione CE Costi'!K943</f>
        <v>0</v>
      </c>
      <c r="E535" s="79">
        <f>+'Alimentazione CE Costi'!L943</f>
        <v>0</v>
      </c>
      <c r="F535" s="65"/>
      <c r="G535" s="228"/>
      <c r="H535" s="80"/>
      <c r="J535" s="76"/>
      <c r="L535" s="80"/>
    </row>
    <row r="536" spans="1:12" ht="18.75">
      <c r="A536" s="219"/>
      <c r="B536" s="139" t="s">
        <v>1446</v>
      </c>
      <c r="C536" s="140" t="s">
        <v>2051</v>
      </c>
      <c r="D536" s="141">
        <f t="shared" ref="D536:E536" si="119">+D537+D538+D539</f>
        <v>109349.26999999999</v>
      </c>
      <c r="E536" s="141">
        <f t="shared" si="119"/>
        <v>204040.90999999997</v>
      </c>
      <c r="F536" s="65"/>
      <c r="G536" s="228"/>
      <c r="H536" s="80"/>
      <c r="J536" s="76"/>
      <c r="L536" s="80"/>
    </row>
    <row r="537" spans="1:12" ht="18.75">
      <c r="A537" s="219"/>
      <c r="B537" s="83" t="s">
        <v>1448</v>
      </c>
      <c r="C537" s="84" t="s">
        <v>2052</v>
      </c>
      <c r="D537" s="79">
        <f>+'Alimentazione CE Costi'!K945</f>
        <v>33101.15</v>
      </c>
      <c r="E537" s="79">
        <f>+'Alimentazione CE Costi'!L945</f>
        <v>17999.29</v>
      </c>
      <c r="F537" s="65"/>
      <c r="G537" s="228"/>
      <c r="H537" s="80"/>
      <c r="J537" s="76"/>
      <c r="L537" s="80"/>
    </row>
    <row r="538" spans="1:12" ht="18.75">
      <c r="A538" s="219"/>
      <c r="B538" s="83" t="s">
        <v>1450</v>
      </c>
      <c r="C538" s="84" t="s">
        <v>2053</v>
      </c>
      <c r="D538" s="79">
        <f>+'Alimentazione CE Costi'!K946</f>
        <v>0</v>
      </c>
      <c r="E538" s="79">
        <f>+'Alimentazione CE Costi'!L946</f>
        <v>1466.1</v>
      </c>
      <c r="F538" s="65"/>
      <c r="G538" s="228"/>
      <c r="H538" s="80"/>
      <c r="J538" s="76"/>
      <c r="L538" s="80"/>
    </row>
    <row r="539" spans="1:12" ht="18.75">
      <c r="A539" s="219"/>
      <c r="B539" s="83" t="s">
        <v>1452</v>
      </c>
      <c r="C539" s="84" t="s">
        <v>2054</v>
      </c>
      <c r="D539" s="79">
        <f>+'Alimentazione CE Costi'!K947</f>
        <v>76248.12</v>
      </c>
      <c r="E539" s="79">
        <f>+'Alimentazione CE Costi'!L947</f>
        <v>184575.52</v>
      </c>
      <c r="F539" s="65"/>
      <c r="G539" s="228"/>
      <c r="H539" s="80"/>
      <c r="J539" s="76"/>
      <c r="L539" s="80"/>
    </row>
    <row r="540" spans="1:12" ht="18.75">
      <c r="A540" s="219"/>
      <c r="B540" s="85" t="s">
        <v>1454</v>
      </c>
      <c r="C540" s="86" t="s">
        <v>2055</v>
      </c>
      <c r="D540" s="79">
        <f>+'Alimentazione CE Costi'!K948</f>
        <v>0</v>
      </c>
      <c r="E540" s="79">
        <f>+'Alimentazione CE Costi'!L948</f>
        <v>0</v>
      </c>
      <c r="F540" s="65"/>
      <c r="G540" s="228"/>
      <c r="H540" s="80"/>
      <c r="J540" s="76"/>
      <c r="L540" s="80"/>
    </row>
    <row r="541" spans="1:12" ht="18.75">
      <c r="A541" s="219"/>
      <c r="B541" s="85" t="s">
        <v>1456</v>
      </c>
      <c r="C541" s="86" t="s">
        <v>2056</v>
      </c>
      <c r="D541" s="79">
        <f>+'Alimentazione CE Costi'!K949</f>
        <v>0</v>
      </c>
      <c r="E541" s="79">
        <f>+'Alimentazione CE Costi'!L949</f>
        <v>0</v>
      </c>
      <c r="F541" s="65"/>
      <c r="G541" s="228"/>
      <c r="H541" s="80"/>
      <c r="J541" s="76"/>
      <c r="L541" s="80"/>
    </row>
    <row r="542" spans="1:12" ht="18.75">
      <c r="A542" s="219"/>
      <c r="B542" s="85" t="s">
        <v>1458</v>
      </c>
      <c r="C542" s="86" t="s">
        <v>2057</v>
      </c>
      <c r="D542" s="79">
        <f>+'Alimentazione CE Costi'!K950</f>
        <v>0</v>
      </c>
      <c r="E542" s="79">
        <f>+'Alimentazione CE Costi'!L950</f>
        <v>0</v>
      </c>
      <c r="F542" s="65"/>
      <c r="G542" s="228"/>
      <c r="H542" s="80"/>
      <c r="J542" s="76"/>
      <c r="L542" s="80"/>
    </row>
    <row r="543" spans="1:12" ht="18.75">
      <c r="A543" s="219"/>
      <c r="B543" s="85" t="s">
        <v>1460</v>
      </c>
      <c r="C543" s="86" t="s">
        <v>2058</v>
      </c>
      <c r="D543" s="79">
        <f>+'Alimentazione CE Costi'!K951</f>
        <v>65725.48</v>
      </c>
      <c r="E543" s="79">
        <f>+'Alimentazione CE Costi'!L951</f>
        <v>42678</v>
      </c>
      <c r="F543" s="65"/>
      <c r="G543" s="228"/>
      <c r="H543" s="80"/>
      <c r="J543" s="76"/>
      <c r="L543" s="80"/>
    </row>
    <row r="544" spans="1:12" ht="18.75">
      <c r="A544" s="219"/>
      <c r="B544" s="85" t="s">
        <v>1462</v>
      </c>
      <c r="C544" s="86" t="s">
        <v>2059</v>
      </c>
      <c r="D544" s="79">
        <f>+'Alimentazione CE Costi'!K952</f>
        <v>17308.05</v>
      </c>
      <c r="E544" s="79">
        <f>+'Alimentazione CE Costi'!L952</f>
        <v>24979.24</v>
      </c>
      <c r="F544" s="65"/>
      <c r="G544" s="228"/>
      <c r="H544" s="80"/>
      <c r="J544" s="76"/>
      <c r="L544" s="80"/>
    </row>
    <row r="545" spans="1:12" ht="18.75">
      <c r="A545" s="219"/>
      <c r="B545" s="117" t="s">
        <v>1464</v>
      </c>
      <c r="C545" s="118" t="s">
        <v>2060</v>
      </c>
      <c r="D545" s="119">
        <f t="shared" ref="D545:E545" si="120">+D546+D547+D548</f>
        <v>1936054.05</v>
      </c>
      <c r="E545" s="119">
        <f t="shared" si="120"/>
        <v>42013.279999999999</v>
      </c>
      <c r="F545" s="65"/>
      <c r="G545" s="228"/>
      <c r="H545" s="80"/>
      <c r="J545" s="76"/>
      <c r="L545" s="80"/>
    </row>
    <row r="546" spans="1:12" ht="18.75">
      <c r="A546" s="221"/>
      <c r="B546" s="83" t="s">
        <v>1466</v>
      </c>
      <c r="C546" s="84" t="s">
        <v>2061</v>
      </c>
      <c r="D546" s="79">
        <f>+'Alimentazione CE Costi'!K954</f>
        <v>0</v>
      </c>
      <c r="E546" s="79">
        <f>+'Alimentazione CE Costi'!L954</f>
        <v>0</v>
      </c>
      <c r="F546" s="373"/>
      <c r="G546" s="228"/>
      <c r="H546" s="80"/>
      <c r="J546" s="76"/>
      <c r="L546" s="80"/>
    </row>
    <row r="547" spans="1:12" ht="18.75">
      <c r="A547" s="221" t="s">
        <v>1522</v>
      </c>
      <c r="B547" s="83" t="s">
        <v>1468</v>
      </c>
      <c r="C547" s="84" t="s">
        <v>2062</v>
      </c>
      <c r="D547" s="79">
        <f>+'Alimentazione CE Costi'!K955</f>
        <v>0</v>
      </c>
      <c r="E547" s="79">
        <f>+'Alimentazione CE Costi'!L955</f>
        <v>0</v>
      </c>
      <c r="F547" s="373"/>
      <c r="G547" s="228"/>
      <c r="H547" s="80"/>
      <c r="J547" s="76"/>
      <c r="L547" s="80"/>
    </row>
    <row r="548" spans="1:12" ht="18.75">
      <c r="A548" s="221"/>
      <c r="B548" s="123" t="s">
        <v>1470</v>
      </c>
      <c r="C548" s="124" t="s">
        <v>2063</v>
      </c>
      <c r="D548" s="122">
        <f t="shared" ref="D548:E548" si="121">SUM(D549:D555)</f>
        <v>1936054.05</v>
      </c>
      <c r="E548" s="122">
        <f t="shared" si="121"/>
        <v>42013.279999999999</v>
      </c>
      <c r="F548" s="65"/>
      <c r="G548" s="228"/>
      <c r="H548" s="80"/>
      <c r="J548" s="76"/>
      <c r="L548" s="80"/>
    </row>
    <row r="549" spans="1:12" ht="18.75">
      <c r="A549" s="221" t="s">
        <v>1567</v>
      </c>
      <c r="B549" s="85" t="s">
        <v>1472</v>
      </c>
      <c r="C549" s="86" t="s">
        <v>2064</v>
      </c>
      <c r="D549" s="79">
        <f>+'Alimentazione CE Costi'!K957</f>
        <v>0</v>
      </c>
      <c r="E549" s="79">
        <f>+'Alimentazione CE Costi'!L957</f>
        <v>0</v>
      </c>
      <c r="F549" s="373"/>
      <c r="G549" s="228"/>
      <c r="H549" s="80"/>
      <c r="J549" s="76"/>
      <c r="L549" s="80"/>
    </row>
    <row r="550" spans="1:12" ht="18.75">
      <c r="A550" s="221"/>
      <c r="B550" s="85" t="s">
        <v>1474</v>
      </c>
      <c r="C550" s="86" t="s">
        <v>2065</v>
      </c>
      <c r="D550" s="79">
        <f>+'Alimentazione CE Costi'!K958</f>
        <v>1676.8</v>
      </c>
      <c r="E550" s="79">
        <f>+'Alimentazione CE Costi'!L958</f>
        <v>6037.47</v>
      </c>
      <c r="F550" s="373"/>
      <c r="G550" s="228"/>
      <c r="H550" s="80"/>
      <c r="J550" s="76"/>
      <c r="L550" s="80"/>
    </row>
    <row r="551" spans="1:12" ht="18.75">
      <c r="A551" s="221"/>
      <c r="B551" s="85" t="s">
        <v>1476</v>
      </c>
      <c r="C551" s="86" t="s">
        <v>2066</v>
      </c>
      <c r="D551" s="79">
        <f>+'Alimentazione CE Costi'!K959</f>
        <v>0</v>
      </c>
      <c r="E551" s="79">
        <f>+'Alimentazione CE Costi'!L959</f>
        <v>0</v>
      </c>
      <c r="F551" s="373"/>
      <c r="G551" s="228"/>
      <c r="H551" s="80"/>
      <c r="J551" s="76"/>
      <c r="L551" s="80"/>
    </row>
    <row r="552" spans="1:12" ht="18.75">
      <c r="A552" s="221"/>
      <c r="B552" s="85" t="s">
        <v>1478</v>
      </c>
      <c r="C552" s="86" t="s">
        <v>2067</v>
      </c>
      <c r="D552" s="79">
        <f>+'Alimentazione CE Costi'!K960</f>
        <v>0</v>
      </c>
      <c r="E552" s="79">
        <f>+'Alimentazione CE Costi'!L960</f>
        <v>0</v>
      </c>
      <c r="F552" s="373"/>
      <c r="G552" s="228"/>
      <c r="H552" s="80"/>
      <c r="J552" s="76"/>
      <c r="L552" s="80"/>
    </row>
    <row r="553" spans="1:12" ht="18.75">
      <c r="A553" s="221"/>
      <c r="B553" s="85" t="s">
        <v>1480</v>
      </c>
      <c r="C553" s="86" t="s">
        <v>2068</v>
      </c>
      <c r="D553" s="79">
        <f>+'Alimentazione CE Costi'!K961</f>
        <v>0</v>
      </c>
      <c r="E553" s="79">
        <f>+'Alimentazione CE Costi'!L961</f>
        <v>0</v>
      </c>
      <c r="F553" s="373"/>
      <c r="G553" s="228"/>
      <c r="H553" s="80"/>
      <c r="J553" s="76"/>
      <c r="L553" s="80"/>
    </row>
    <row r="554" spans="1:12" ht="18.75">
      <c r="A554" s="221"/>
      <c r="B554" s="85" t="s">
        <v>1482</v>
      </c>
      <c r="C554" s="86" t="s">
        <v>2069</v>
      </c>
      <c r="D554" s="79">
        <f>+'Alimentazione CE Costi'!K962</f>
        <v>0</v>
      </c>
      <c r="E554" s="79">
        <f>+'Alimentazione CE Costi'!L962</f>
        <v>0</v>
      </c>
      <c r="F554" s="373"/>
      <c r="G554" s="228"/>
      <c r="H554" s="80"/>
      <c r="J554" s="76"/>
      <c r="L554" s="80"/>
    </row>
    <row r="555" spans="1:12" ht="18.75">
      <c r="A555" s="221"/>
      <c r="B555" s="85" t="s">
        <v>1484</v>
      </c>
      <c r="C555" s="86" t="s">
        <v>2070</v>
      </c>
      <c r="D555" s="79">
        <f>+'Alimentazione CE Costi'!K963</f>
        <v>1934377.25</v>
      </c>
      <c r="E555" s="79">
        <f>+'Alimentazione CE Costi'!L963</f>
        <v>35975.81</v>
      </c>
      <c r="F555" s="373"/>
      <c r="G555" s="228"/>
      <c r="H555" s="80"/>
      <c r="J555" s="76"/>
      <c r="L555" s="80"/>
    </row>
    <row r="556" spans="1:12" ht="18.75">
      <c r="A556" s="219"/>
      <c r="B556" s="83" t="s">
        <v>1485</v>
      </c>
      <c r="C556" s="84" t="s">
        <v>2071</v>
      </c>
      <c r="D556" s="79">
        <f>+'Alimentazione CE Costi'!K964</f>
        <v>1279.71</v>
      </c>
      <c r="E556" s="79">
        <f>+'Alimentazione CE Costi'!L964</f>
        <v>46.48</v>
      </c>
      <c r="F556" s="65"/>
      <c r="G556" s="228"/>
      <c r="H556" s="97"/>
      <c r="J556" s="76"/>
      <c r="L556" s="80"/>
    </row>
    <row r="557" spans="1:12" ht="18.75">
      <c r="A557" s="219"/>
      <c r="B557" s="114" t="s">
        <v>2072</v>
      </c>
      <c r="C557" s="115" t="s">
        <v>2073</v>
      </c>
      <c r="D557" s="116">
        <f t="shared" ref="D557:E557" si="122">+D499-D525</f>
        <v>-3285529.5</v>
      </c>
      <c r="E557" s="116">
        <f t="shared" si="122"/>
        <v>1081641.4099999999</v>
      </c>
      <c r="F557" s="65"/>
      <c r="G557" s="228"/>
      <c r="H557" s="97"/>
      <c r="J557" s="76"/>
      <c r="L557" s="80"/>
    </row>
    <row r="558" spans="1:12" ht="18.75">
      <c r="A558" s="219"/>
      <c r="B558" s="77" t="s">
        <v>2074</v>
      </c>
      <c r="C558" s="78" t="s">
        <v>2075</v>
      </c>
      <c r="D558" s="79">
        <f t="shared" ref="D558:E558" si="123">+D140-D474+D493+D497+D557</f>
        <v>3237192.6299999701</v>
      </c>
      <c r="E558" s="79">
        <f t="shared" si="123"/>
        <v>3018315.0999999815</v>
      </c>
      <c r="F558" s="65"/>
      <c r="G558" s="228"/>
      <c r="H558" s="97"/>
      <c r="J558" s="76"/>
      <c r="L558" s="80"/>
    </row>
    <row r="559" spans="1:12" ht="18.75">
      <c r="A559" s="221"/>
      <c r="B559" s="127"/>
      <c r="C559" s="128" t="s">
        <v>2076</v>
      </c>
      <c r="D559" s="129"/>
      <c r="E559" s="129"/>
      <c r="F559" s="373"/>
      <c r="G559" s="228"/>
      <c r="H559" s="98"/>
      <c r="J559" s="76"/>
      <c r="L559" s="80"/>
    </row>
    <row r="560" spans="1:12" ht="18.75">
      <c r="A560" s="219"/>
      <c r="B560" s="111" t="s">
        <v>1486</v>
      </c>
      <c r="C560" s="112" t="s">
        <v>2077</v>
      </c>
      <c r="D560" s="113">
        <f t="shared" ref="D560:E560" si="124">+D561+D562+D563+D564</f>
        <v>3071670.13</v>
      </c>
      <c r="E560" s="113">
        <f t="shared" si="124"/>
        <v>2988064.93</v>
      </c>
      <c r="F560" s="65"/>
      <c r="G560" s="228"/>
      <c r="H560" s="99"/>
      <c r="J560" s="76"/>
      <c r="L560" s="80"/>
    </row>
    <row r="561" spans="1:26" ht="18.75">
      <c r="A561" s="219"/>
      <c r="B561" s="81" t="s">
        <v>1488</v>
      </c>
      <c r="C561" s="82" t="s">
        <v>2078</v>
      </c>
      <c r="D561" s="79">
        <f>+'Alimentazione CE Costi'!K966</f>
        <v>2853937.69</v>
      </c>
      <c r="E561" s="79">
        <f>+'Alimentazione CE Costi'!L966</f>
        <v>2786515.45</v>
      </c>
      <c r="F561" s="65"/>
      <c r="G561" s="228"/>
      <c r="H561" s="98"/>
      <c r="J561" s="76"/>
      <c r="L561" s="80"/>
    </row>
    <row r="562" spans="1:26" ht="18.75">
      <c r="A562" s="219"/>
      <c r="B562" s="81" t="s">
        <v>1490</v>
      </c>
      <c r="C562" s="82" t="s">
        <v>2079</v>
      </c>
      <c r="D562" s="79">
        <f>+'Alimentazione CE Costi'!K967</f>
        <v>147542.73000000001</v>
      </c>
      <c r="E562" s="79">
        <f>+'Alimentazione CE Costi'!L967</f>
        <v>138840.81</v>
      </c>
      <c r="F562" s="65"/>
      <c r="G562" s="228"/>
      <c r="H562" s="97"/>
      <c r="J562" s="76"/>
      <c r="L562" s="80"/>
    </row>
    <row r="563" spans="1:26" ht="18.75">
      <c r="A563" s="219"/>
      <c r="B563" s="81" t="s">
        <v>1492</v>
      </c>
      <c r="C563" s="82" t="s">
        <v>2080</v>
      </c>
      <c r="D563" s="79">
        <f>+'Alimentazione CE Costi'!K968</f>
        <v>70189.710000000006</v>
      </c>
      <c r="E563" s="79">
        <f>+'Alimentazione CE Costi'!L968</f>
        <v>62708.67</v>
      </c>
      <c r="F563" s="65"/>
      <c r="G563" s="228"/>
      <c r="H563" s="98"/>
      <c r="J563" s="76"/>
      <c r="L563" s="80"/>
    </row>
    <row r="564" spans="1:26" ht="18.75">
      <c r="A564" s="219"/>
      <c r="B564" s="81" t="s">
        <v>1494</v>
      </c>
      <c r="C564" s="82" t="s">
        <v>2081</v>
      </c>
      <c r="D564" s="79">
        <f>+'Alimentazione CE Costi'!K969</f>
        <v>0</v>
      </c>
      <c r="E564" s="79">
        <f>+'Alimentazione CE Costi'!L969</f>
        <v>0</v>
      </c>
      <c r="F564" s="65"/>
      <c r="G564" s="228"/>
      <c r="H564" s="98"/>
      <c r="J564" s="76"/>
      <c r="L564" s="80"/>
    </row>
    <row r="565" spans="1:26" ht="18.75">
      <c r="A565" s="219"/>
      <c r="B565" s="111" t="s">
        <v>1495</v>
      </c>
      <c r="C565" s="112" t="s">
        <v>2082</v>
      </c>
      <c r="D565" s="113">
        <f t="shared" ref="D565:E565" si="125">+D566+D567</f>
        <v>18407</v>
      </c>
      <c r="E565" s="113">
        <f t="shared" si="125"/>
        <v>17835</v>
      </c>
      <c r="F565" s="65"/>
      <c r="G565" s="228"/>
      <c r="H565" s="98"/>
      <c r="J565" s="76"/>
      <c r="L565" s="80"/>
    </row>
    <row r="566" spans="1:26" ht="18.75">
      <c r="A566" s="219"/>
      <c r="B566" s="81" t="s">
        <v>1497</v>
      </c>
      <c r="C566" s="82" t="s">
        <v>2083</v>
      </c>
      <c r="D566" s="79">
        <f>+'Alimentazione CE Costi'!K971</f>
        <v>18407</v>
      </c>
      <c r="E566" s="79">
        <f>+'Alimentazione CE Costi'!L971</f>
        <v>17835</v>
      </c>
      <c r="F566" s="65"/>
      <c r="G566" s="228"/>
      <c r="H566" s="99"/>
      <c r="J566" s="76"/>
      <c r="L566" s="80"/>
    </row>
    <row r="567" spans="1:26" ht="18.75">
      <c r="A567" s="219"/>
      <c r="B567" s="81" t="s">
        <v>1499</v>
      </c>
      <c r="C567" s="82" t="s">
        <v>2084</v>
      </c>
      <c r="D567" s="79">
        <f>+'Alimentazione CE Costi'!K972</f>
        <v>0</v>
      </c>
      <c r="E567" s="79">
        <f>+'Alimentazione CE Costi'!L972</f>
        <v>0</v>
      </c>
      <c r="F567" s="65"/>
      <c r="G567" s="228"/>
      <c r="H567" s="98"/>
      <c r="J567" s="76"/>
      <c r="L567" s="80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</row>
    <row r="568" spans="1:26" ht="18.75">
      <c r="A568" s="221"/>
      <c r="B568" s="77" t="s">
        <v>1501</v>
      </c>
      <c r="C568" s="78" t="s">
        <v>2085</v>
      </c>
      <c r="D568" s="79">
        <f>+'Alimentazione CE Costi'!K973</f>
        <v>0</v>
      </c>
      <c r="E568" s="79">
        <f>+'Alimentazione CE Costi'!L973</f>
        <v>0</v>
      </c>
      <c r="F568" s="373"/>
      <c r="G568" s="228"/>
      <c r="H568" s="100"/>
      <c r="J568" s="76"/>
      <c r="L568" s="80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</row>
    <row r="569" spans="1:26" ht="18.75">
      <c r="A569" s="221"/>
      <c r="B569" s="114" t="s">
        <v>2086</v>
      </c>
      <c r="C569" s="115" t="s">
        <v>2087</v>
      </c>
      <c r="D569" s="116">
        <f t="shared" ref="D569:E569" si="126">+D560+D565+D568</f>
        <v>3090077.13</v>
      </c>
      <c r="E569" s="116">
        <f t="shared" si="126"/>
        <v>3005899.93</v>
      </c>
      <c r="F569" s="65"/>
      <c r="G569" s="228"/>
      <c r="H569" s="101"/>
      <c r="J569" s="76"/>
      <c r="L569" s="80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</row>
    <row r="570" spans="1:26" ht="19.5" thickBot="1">
      <c r="A570" s="227"/>
      <c r="B570" s="142" t="s">
        <v>2088</v>
      </c>
      <c r="C570" s="143" t="s">
        <v>2089</v>
      </c>
      <c r="D570" s="144">
        <f t="shared" ref="D570:E570" si="127">+D558-D569</f>
        <v>147115.4999999702</v>
      </c>
      <c r="E570" s="144">
        <f t="shared" si="127"/>
        <v>12415.169999981299</v>
      </c>
      <c r="F570" s="65"/>
      <c r="G570" s="228"/>
      <c r="H570" s="101"/>
      <c r="J570" s="76"/>
      <c r="L570" s="80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>
      <c r="A571" s="103"/>
      <c r="B571" s="102"/>
      <c r="C571" s="103"/>
      <c r="D571" s="103"/>
      <c r="E571" s="103"/>
      <c r="F571" s="103"/>
      <c r="G571" s="103"/>
      <c r="H571" s="103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687"/>
    </row>
    <row r="572" spans="1:26">
      <c r="A572" s="103"/>
      <c r="B572" s="68" t="s">
        <v>2090</v>
      </c>
      <c r="C572" s="103"/>
      <c r="D572" s="103"/>
      <c r="E572" s="103"/>
      <c r="F572" s="103"/>
      <c r="G572" s="103"/>
      <c r="H572" s="103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7"/>
    </row>
    <row r="573" spans="1:26" ht="15">
      <c r="A573" s="688"/>
      <c r="B573" s="61"/>
      <c r="C573" s="103"/>
      <c r="D573" s="103"/>
      <c r="E573" s="103"/>
      <c r="F573" s="103"/>
      <c r="G573" s="103"/>
      <c r="H573" s="103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687"/>
    </row>
    <row r="574" spans="1:26">
      <c r="A574" s="68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9"/>
    </row>
    <row r="575" spans="1:26">
      <c r="A575" s="688"/>
      <c r="B575" s="64" t="s">
        <v>2091</v>
      </c>
      <c r="C575" s="104"/>
      <c r="D575" s="104" t="s">
        <v>4578</v>
      </c>
      <c r="E575" s="104"/>
      <c r="G575" s="104"/>
      <c r="H575" s="104"/>
      <c r="I575" s="104"/>
      <c r="L575" s="104"/>
      <c r="M575" s="104"/>
      <c r="N575" s="104"/>
      <c r="O575" s="104"/>
      <c r="P575" s="104"/>
      <c r="Q575" s="104"/>
      <c r="R575" s="68"/>
      <c r="S575" s="68"/>
      <c r="T575" s="375"/>
    </row>
    <row r="576" spans="1:26">
      <c r="A576" s="103"/>
      <c r="B576" s="68"/>
      <c r="C576" s="68"/>
      <c r="D576" s="68"/>
      <c r="E576" s="68"/>
      <c r="F576" s="68"/>
      <c r="G576" s="68"/>
      <c r="H576" s="68"/>
      <c r="I576" s="68"/>
      <c r="L576" s="68"/>
      <c r="M576" s="68"/>
      <c r="N576" s="68"/>
      <c r="O576" s="68"/>
      <c r="P576" s="68"/>
      <c r="Q576" s="68"/>
      <c r="R576" s="68"/>
      <c r="S576" s="68"/>
      <c r="T576" s="689"/>
    </row>
    <row r="577" spans="1:23" ht="15">
      <c r="A577" s="103"/>
      <c r="B577" s="64" t="s">
        <v>2092</v>
      </c>
      <c r="C577" s="103"/>
      <c r="D577" s="99" t="s">
        <v>2092</v>
      </c>
      <c r="E577" s="104"/>
      <c r="F577" s="104"/>
      <c r="G577" s="104"/>
      <c r="H577" s="104"/>
      <c r="I577" s="104"/>
      <c r="L577" s="104"/>
      <c r="M577" s="104"/>
      <c r="N577" s="104"/>
      <c r="O577" s="104"/>
      <c r="P577" s="104"/>
      <c r="Q577" s="104"/>
      <c r="R577" s="104"/>
      <c r="S577" s="104"/>
      <c r="T577" s="690"/>
    </row>
    <row r="578" spans="1:23">
      <c r="A578" s="103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9"/>
    </row>
    <row r="579" spans="1:23">
      <c r="A579" s="103"/>
      <c r="B579" s="68"/>
      <c r="C579" s="68"/>
      <c r="D579" s="99" t="s">
        <v>4579</v>
      </c>
      <c r="E579" s="68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689"/>
    </row>
    <row r="580" spans="1:23" ht="15">
      <c r="A580" s="103"/>
      <c r="B580" s="68"/>
      <c r="C580" s="68"/>
      <c r="E580" s="104"/>
      <c r="F580" s="104"/>
      <c r="N580" s="62"/>
      <c r="O580" s="62"/>
      <c r="P580" s="62"/>
      <c r="Q580" s="62"/>
      <c r="R580" s="62"/>
      <c r="T580" s="689"/>
    </row>
    <row r="581" spans="1:23" ht="15">
      <c r="A581" s="62"/>
      <c r="B581" s="61"/>
      <c r="C581" s="104"/>
      <c r="D581" s="99" t="s">
        <v>2092</v>
      </c>
      <c r="E581" s="68"/>
      <c r="F581" s="68"/>
      <c r="N581" s="62"/>
      <c r="O581" s="62"/>
      <c r="P581" s="62"/>
      <c r="Q581" s="62"/>
      <c r="R581" s="62"/>
      <c r="T581" s="690"/>
    </row>
    <row r="582" spans="1:23" ht="15">
      <c r="A582" s="62"/>
      <c r="B582" s="68"/>
      <c r="C582" s="68"/>
      <c r="D582" s="68"/>
      <c r="E582" s="68"/>
      <c r="N582" s="62"/>
      <c r="O582" s="62"/>
      <c r="P582" s="62"/>
      <c r="Q582" s="62"/>
      <c r="R582" s="62"/>
      <c r="T582" s="689"/>
    </row>
    <row r="583" spans="1:23" ht="15">
      <c r="A583" s="62"/>
      <c r="C583" s="62"/>
      <c r="D583" s="62"/>
      <c r="E583" s="62"/>
      <c r="F583" s="104"/>
      <c r="G583" s="104"/>
      <c r="H583" s="104"/>
      <c r="N583" s="62"/>
      <c r="O583" s="62"/>
      <c r="P583" s="62"/>
      <c r="Q583" s="62"/>
      <c r="R583" s="62"/>
      <c r="U583" s="62"/>
    </row>
    <row r="584" spans="1:23" ht="15">
      <c r="N584" s="62"/>
      <c r="O584" s="62"/>
      <c r="P584" s="62"/>
      <c r="Q584" s="62"/>
      <c r="R584" s="62"/>
    </row>
    <row r="585" spans="1:23" ht="15">
      <c r="S585" s="62"/>
      <c r="T585" s="62"/>
      <c r="U585" s="62"/>
      <c r="V585" s="62"/>
      <c r="W585" s="62"/>
    </row>
    <row r="586" spans="1:23" ht="15">
      <c r="S586" s="63"/>
      <c r="T586" s="63"/>
      <c r="U586" s="63"/>
      <c r="V586" s="63"/>
      <c r="W586" s="63"/>
    </row>
    <row r="587" spans="1:23" ht="15">
      <c r="S587" s="63"/>
      <c r="T587" s="63"/>
      <c r="U587" s="63"/>
      <c r="V587" s="63"/>
      <c r="W587" s="63"/>
    </row>
    <row r="588" spans="1:23" ht="15">
      <c r="S588" s="63"/>
      <c r="T588" s="63"/>
      <c r="U588" s="63"/>
      <c r="V588" s="63"/>
      <c r="W588" s="63"/>
    </row>
    <row r="589" spans="1:23" ht="15">
      <c r="S589" s="63"/>
      <c r="T589" s="63"/>
      <c r="U589" s="63"/>
      <c r="V589" s="63"/>
      <c r="W589" s="63"/>
    </row>
    <row r="590" spans="1:23" ht="15">
      <c r="S590" s="63"/>
      <c r="T590" s="63"/>
      <c r="U590" s="63"/>
      <c r="V590" s="63"/>
      <c r="W590" s="63"/>
    </row>
    <row r="591" spans="1:23" ht="15">
      <c r="S591" s="63"/>
      <c r="T591" s="63"/>
      <c r="U591" s="63"/>
      <c r="V591" s="63"/>
      <c r="W591" s="63"/>
    </row>
    <row r="592" spans="1:23" ht="15">
      <c r="S592" s="63"/>
      <c r="T592" s="63"/>
      <c r="U592" s="63"/>
      <c r="V592" s="63"/>
      <c r="W592" s="63"/>
    </row>
    <row r="593" spans="19:23" ht="15">
      <c r="S593" s="63"/>
      <c r="T593" s="63"/>
      <c r="U593" s="63"/>
      <c r="V593" s="63"/>
      <c r="W593" s="63"/>
    </row>
    <row r="594" spans="19:23" ht="15">
      <c r="S594" s="63"/>
      <c r="T594" s="63"/>
      <c r="U594" s="63"/>
      <c r="V594" s="63"/>
      <c r="W594" s="63"/>
    </row>
    <row r="595" spans="19:23" ht="15">
      <c r="S595" s="63"/>
      <c r="T595" s="63"/>
      <c r="U595" s="63"/>
      <c r="V595" s="63"/>
      <c r="W595" s="63"/>
    </row>
    <row r="596" spans="19:23" ht="15">
      <c r="S596" s="63"/>
      <c r="T596" s="63"/>
      <c r="U596" s="63"/>
      <c r="V596" s="63"/>
      <c r="W596" s="63"/>
    </row>
    <row r="597" spans="19:23" ht="15">
      <c r="S597" s="63"/>
      <c r="T597" s="63"/>
      <c r="U597" s="63"/>
      <c r="V597" s="63"/>
      <c r="W597" s="63"/>
    </row>
    <row r="598" spans="19:23" ht="15">
      <c r="S598" s="63"/>
      <c r="T598" s="63"/>
      <c r="U598" s="63"/>
      <c r="V598" s="63"/>
      <c r="W598" s="63"/>
    </row>
    <row r="599" spans="19:23" ht="15">
      <c r="S599" s="63"/>
      <c r="T599" s="63"/>
      <c r="U599" s="63"/>
      <c r="V599" s="63"/>
      <c r="W599" s="63"/>
    </row>
    <row r="600" spans="19:23" ht="15">
      <c r="S600" s="63"/>
      <c r="T600" s="63"/>
      <c r="U600" s="63"/>
      <c r="V600" s="63"/>
      <c r="W600" s="63"/>
    </row>
    <row r="601" spans="19:23" ht="15">
      <c r="S601" s="63"/>
      <c r="T601" s="63"/>
      <c r="U601" s="63"/>
      <c r="V601" s="63"/>
      <c r="W601" s="63"/>
    </row>
    <row r="602" spans="19:23" ht="15">
      <c r="S602" s="63"/>
      <c r="T602" s="63"/>
      <c r="U602" s="63"/>
      <c r="V602" s="63"/>
      <c r="W602" s="63"/>
    </row>
    <row r="603" spans="19:23" ht="15">
      <c r="S603" s="63"/>
      <c r="T603" s="63"/>
      <c r="U603" s="63"/>
      <c r="V603" s="63"/>
      <c r="W603" s="63"/>
    </row>
    <row r="604" spans="19:23" ht="15">
      <c r="S604" s="63"/>
      <c r="T604" s="63"/>
      <c r="U604" s="63"/>
      <c r="V604" s="63"/>
      <c r="W604" s="63"/>
    </row>
    <row r="605" spans="19:23" ht="15">
      <c r="S605" s="63"/>
      <c r="T605" s="63"/>
      <c r="U605" s="63"/>
      <c r="V605" s="63"/>
      <c r="W605" s="63"/>
    </row>
    <row r="606" spans="19:23" ht="15">
      <c r="S606" s="63"/>
      <c r="T606" s="63"/>
      <c r="U606" s="63"/>
      <c r="V606" s="63"/>
      <c r="W606" s="63"/>
    </row>
    <row r="607" spans="19:23" ht="15">
      <c r="S607" s="63"/>
      <c r="T607" s="63"/>
      <c r="U607" s="63"/>
      <c r="V607" s="63"/>
      <c r="W607" s="63"/>
    </row>
    <row r="608" spans="19:23" ht="15">
      <c r="S608" s="63"/>
      <c r="T608" s="63"/>
      <c r="U608" s="63"/>
      <c r="V608" s="63"/>
      <c r="W608" s="63"/>
    </row>
    <row r="609" spans="19:23" ht="15">
      <c r="S609" s="63"/>
      <c r="T609" s="63"/>
      <c r="U609" s="63"/>
      <c r="V609" s="63"/>
      <c r="W609" s="63"/>
    </row>
    <row r="610" spans="19:23" ht="15">
      <c r="S610" s="63"/>
      <c r="T610" s="63"/>
      <c r="U610" s="63"/>
      <c r="V610" s="63"/>
      <c r="W610" s="63"/>
    </row>
    <row r="611" spans="19:23" ht="15">
      <c r="S611" s="63"/>
      <c r="T611" s="63"/>
      <c r="U611" s="63"/>
      <c r="V611" s="63"/>
      <c r="W611" s="63"/>
    </row>
    <row r="612" spans="19:23" ht="15">
      <c r="S612" s="63"/>
      <c r="T612" s="63"/>
      <c r="U612" s="63"/>
      <c r="V612" s="63"/>
      <c r="W612" s="63"/>
    </row>
    <row r="613" spans="19:23" ht="15">
      <c r="S613" s="63"/>
      <c r="T613" s="63"/>
      <c r="U613" s="63"/>
      <c r="V613" s="63"/>
      <c r="W613" s="63"/>
    </row>
    <row r="614" spans="19:23" ht="15">
      <c r="S614" s="63"/>
      <c r="T614" s="63"/>
      <c r="U614" s="63"/>
      <c r="V614" s="63"/>
      <c r="W614" s="63"/>
    </row>
    <row r="615" spans="19:23" ht="15">
      <c r="S615" s="63"/>
      <c r="T615" s="63"/>
      <c r="U615" s="63"/>
      <c r="V615" s="63"/>
      <c r="W615" s="63"/>
    </row>
    <row r="616" spans="19:23" ht="15">
      <c r="S616" s="63"/>
      <c r="T616" s="63"/>
      <c r="U616" s="63"/>
      <c r="V616" s="63"/>
      <c r="W616" s="63"/>
    </row>
    <row r="617" spans="19:23" ht="15">
      <c r="S617" s="63"/>
      <c r="T617" s="63"/>
      <c r="U617" s="63"/>
      <c r="V617" s="63"/>
      <c r="W617" s="63"/>
    </row>
    <row r="618" spans="19:23" ht="15">
      <c r="S618" s="63"/>
      <c r="T618" s="63"/>
      <c r="U618" s="63"/>
      <c r="V618" s="63"/>
      <c r="W618" s="63"/>
    </row>
    <row r="619" spans="19:23" ht="15">
      <c r="S619" s="63"/>
      <c r="T619" s="63"/>
      <c r="U619" s="63"/>
      <c r="V619" s="63"/>
      <c r="W619" s="63"/>
    </row>
    <row r="620" spans="19:23" ht="15">
      <c r="S620" s="63"/>
      <c r="T620" s="63"/>
      <c r="U620" s="63"/>
      <c r="V620" s="63"/>
      <c r="W620" s="63"/>
    </row>
    <row r="621" spans="19:23" ht="15">
      <c r="S621" s="63"/>
      <c r="T621" s="63"/>
      <c r="U621" s="63"/>
      <c r="V621" s="63"/>
      <c r="W621" s="63"/>
    </row>
    <row r="622" spans="19:23" ht="15">
      <c r="S622" s="63"/>
      <c r="T622" s="63"/>
      <c r="U622" s="63"/>
      <c r="V622" s="63"/>
      <c r="W622" s="63"/>
    </row>
    <row r="623" spans="19:23" ht="15">
      <c r="S623" s="63"/>
      <c r="T623" s="63"/>
      <c r="U623" s="63"/>
      <c r="V623" s="63"/>
      <c r="W623" s="63"/>
    </row>
    <row r="624" spans="19:23" ht="15">
      <c r="S624" s="63"/>
      <c r="T624" s="63"/>
      <c r="U624" s="63"/>
      <c r="V624" s="63"/>
      <c r="W624" s="63"/>
    </row>
    <row r="625" spans="19:23" ht="15">
      <c r="S625" s="63"/>
      <c r="T625" s="63"/>
      <c r="U625" s="63"/>
      <c r="V625" s="63"/>
      <c r="W625" s="63"/>
    </row>
    <row r="626" spans="19:23" ht="15">
      <c r="S626" s="63"/>
      <c r="T626" s="63"/>
      <c r="U626" s="63"/>
      <c r="V626" s="63"/>
      <c r="W626" s="63"/>
    </row>
    <row r="627" spans="19:23" ht="15">
      <c r="S627" s="63"/>
      <c r="T627" s="63"/>
      <c r="U627" s="63"/>
      <c r="V627" s="63"/>
      <c r="W627" s="63"/>
    </row>
    <row r="628" spans="19:23" ht="15">
      <c r="S628" s="63"/>
      <c r="T628" s="63"/>
      <c r="U628" s="63"/>
      <c r="V628" s="63"/>
      <c r="W628" s="63"/>
    </row>
    <row r="629" spans="19:23" ht="15">
      <c r="S629" s="63"/>
      <c r="T629" s="63"/>
      <c r="U629" s="63"/>
      <c r="V629" s="63"/>
      <c r="W629" s="63"/>
    </row>
    <row r="630" spans="19:23" ht="15">
      <c r="S630" s="63"/>
      <c r="T630" s="63"/>
      <c r="U630" s="63"/>
      <c r="V630" s="63"/>
      <c r="W630" s="63"/>
    </row>
    <row r="631" spans="19:23" ht="15">
      <c r="S631" s="63"/>
      <c r="T631" s="63"/>
      <c r="U631" s="63"/>
      <c r="V631" s="63"/>
      <c r="W631" s="63"/>
    </row>
    <row r="632" spans="19:23" ht="15">
      <c r="S632" s="63"/>
      <c r="T632" s="63"/>
      <c r="U632" s="63"/>
      <c r="V632" s="63"/>
      <c r="W632" s="63"/>
    </row>
    <row r="633" spans="19:23" ht="15">
      <c r="S633" s="63"/>
      <c r="T633" s="63"/>
      <c r="U633" s="63"/>
      <c r="V633" s="63"/>
      <c r="W633" s="63"/>
    </row>
  </sheetData>
  <printOptions horizontalCentered="1"/>
  <pageMargins left="0.59055118110236227" right="0.59055118110236227" top="0.59055118110236227" bottom="0.59055118110236227" header="0" footer="0"/>
  <pageSetup paperSize="9" scale="56" fitToHeight="0" orientation="portrait" r:id="rId1"/>
  <ignoredErrors>
    <ignoredError sqref="D264:E264 D425:E428 D404:E420 D94:E94 D116:E123 D181:E189 D203:E203 D272:E272 D326:E333 D342:E342 D363:E363 D373:E387 D390:E40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03"/>
  <sheetViews>
    <sheetView zoomScaleNormal="100" workbookViewId="0">
      <pane ySplit="2" topLeftCell="A911" activePane="bottomLeft" state="frozen"/>
      <selection activeCell="K101" sqref="K101"/>
      <selection pane="bottomLeft" activeCell="K915" sqref="K915:K916"/>
    </sheetView>
  </sheetViews>
  <sheetFormatPr defaultRowHeight="12.75"/>
  <cols>
    <col min="1" max="6" width="5.5703125" style="256" customWidth="1"/>
    <col min="7" max="7" width="16.85546875" hidden="1" customWidth="1"/>
    <col min="8" max="8" width="52.28515625" style="371" customWidth="1"/>
    <col min="9" max="9" width="14.5703125" customWidth="1"/>
    <col min="10" max="10" width="9.5703125" customWidth="1"/>
    <col min="11" max="12" width="18.28515625" customWidth="1"/>
  </cols>
  <sheetData>
    <row r="1" spans="1:12" s="372" customFormat="1" ht="55.5" customHeight="1" thickBot="1">
      <c r="A1" s="332" t="s">
        <v>120</v>
      </c>
      <c r="B1" s="333"/>
      <c r="C1" s="333"/>
      <c r="D1" s="333"/>
      <c r="E1" s="333"/>
      <c r="F1" s="334"/>
      <c r="G1" s="928" t="s">
        <v>3444</v>
      </c>
      <c r="H1" s="928" t="s">
        <v>121</v>
      </c>
      <c r="I1" s="929" t="s">
        <v>122</v>
      </c>
      <c r="J1" s="331" t="s">
        <v>2211</v>
      </c>
      <c r="K1" s="929" t="s">
        <v>3458</v>
      </c>
      <c r="L1" s="929" t="s">
        <v>3457</v>
      </c>
    </row>
    <row r="2" spans="1:12" ht="13.5" customHeight="1" thickBot="1">
      <c r="A2" s="335" t="s">
        <v>123</v>
      </c>
      <c r="B2" s="335" t="s">
        <v>124</v>
      </c>
      <c r="C2" s="335" t="s">
        <v>125</v>
      </c>
      <c r="D2" s="335" t="s">
        <v>126</v>
      </c>
      <c r="E2" s="335" t="s">
        <v>127</v>
      </c>
      <c r="F2" s="335" t="s">
        <v>128</v>
      </c>
      <c r="G2" s="928"/>
      <c r="H2" s="928"/>
      <c r="I2" s="930"/>
      <c r="J2" s="329"/>
      <c r="K2" s="930"/>
      <c r="L2" s="930"/>
    </row>
    <row r="3" spans="1:12">
      <c r="A3" s="150">
        <v>300</v>
      </c>
      <c r="B3" s="57">
        <v>0</v>
      </c>
      <c r="C3" s="57">
        <v>0</v>
      </c>
      <c r="D3" s="57">
        <v>0</v>
      </c>
      <c r="E3" s="57">
        <v>0</v>
      </c>
      <c r="F3" s="57">
        <v>0</v>
      </c>
      <c r="G3" s="54">
        <v>300</v>
      </c>
      <c r="H3" s="54" t="s">
        <v>536</v>
      </c>
      <c r="I3" s="55" t="s">
        <v>537</v>
      </c>
      <c r="J3" s="55"/>
      <c r="K3" s="210"/>
      <c r="L3" s="210"/>
    </row>
    <row r="4" spans="1:12">
      <c r="A4" s="153">
        <v>300</v>
      </c>
      <c r="B4" s="337">
        <v>100</v>
      </c>
      <c r="C4" s="337">
        <v>0</v>
      </c>
      <c r="D4" s="337">
        <v>0</v>
      </c>
      <c r="E4" s="337">
        <v>0</v>
      </c>
      <c r="F4" s="337">
        <v>0</v>
      </c>
      <c r="G4" s="345" t="s">
        <v>2331</v>
      </c>
      <c r="H4" s="345" t="s">
        <v>538</v>
      </c>
      <c r="I4" s="346" t="s">
        <v>539</v>
      </c>
      <c r="J4" s="346"/>
      <c r="K4" s="347"/>
      <c r="L4" s="347"/>
    </row>
    <row r="5" spans="1:12">
      <c r="A5" s="151">
        <v>300</v>
      </c>
      <c r="B5" s="336">
        <v>100</v>
      </c>
      <c r="C5" s="337">
        <v>100</v>
      </c>
      <c r="D5" s="337">
        <v>0</v>
      </c>
      <c r="E5" s="337">
        <v>0</v>
      </c>
      <c r="F5" s="337">
        <v>0</v>
      </c>
      <c r="G5" s="345" t="s">
        <v>2332</v>
      </c>
      <c r="H5" s="345" t="s">
        <v>540</v>
      </c>
      <c r="I5" s="348" t="s">
        <v>541</v>
      </c>
      <c r="J5" s="348"/>
      <c r="K5" s="349"/>
      <c r="L5" s="349"/>
    </row>
    <row r="6" spans="1:12" ht="38.25">
      <c r="A6" s="151">
        <v>300</v>
      </c>
      <c r="B6" s="336">
        <v>100</v>
      </c>
      <c r="C6" s="337">
        <v>100</v>
      </c>
      <c r="D6" s="152">
        <v>100</v>
      </c>
      <c r="E6" s="337">
        <v>0</v>
      </c>
      <c r="F6" s="337">
        <v>0</v>
      </c>
      <c r="G6" s="344" t="s">
        <v>2333</v>
      </c>
      <c r="H6" s="344" t="s">
        <v>544</v>
      </c>
      <c r="I6" s="337" t="s">
        <v>543</v>
      </c>
      <c r="J6" s="337"/>
      <c r="K6" s="350">
        <v>1468380.08</v>
      </c>
      <c r="L6" s="350">
        <v>3232490.89</v>
      </c>
    </row>
    <row r="7" spans="1:12" ht="25.5">
      <c r="A7" s="151">
        <v>300</v>
      </c>
      <c r="B7" s="336">
        <v>100</v>
      </c>
      <c r="C7" s="337">
        <v>100</v>
      </c>
      <c r="D7" s="152">
        <v>101</v>
      </c>
      <c r="E7" s="337">
        <v>0</v>
      </c>
      <c r="F7" s="337">
        <v>0</v>
      </c>
      <c r="G7" s="344" t="s">
        <v>2212</v>
      </c>
      <c r="H7" s="344" t="s">
        <v>2213</v>
      </c>
      <c r="I7" s="337" t="s">
        <v>543</v>
      </c>
      <c r="J7" s="337"/>
      <c r="K7" s="350">
        <v>290488.32000000001</v>
      </c>
      <c r="L7" s="350">
        <v>0</v>
      </c>
    </row>
    <row r="8" spans="1:12">
      <c r="A8" s="151">
        <v>300</v>
      </c>
      <c r="B8" s="336">
        <v>100</v>
      </c>
      <c r="C8" s="337">
        <v>100</v>
      </c>
      <c r="D8" s="152">
        <v>200</v>
      </c>
      <c r="E8" s="337">
        <v>0</v>
      </c>
      <c r="F8" s="337">
        <v>0</v>
      </c>
      <c r="G8" s="344" t="s">
        <v>2334</v>
      </c>
      <c r="H8" s="344" t="s">
        <v>545</v>
      </c>
      <c r="I8" s="337" t="s">
        <v>546</v>
      </c>
      <c r="J8" s="337"/>
      <c r="K8" s="350">
        <v>3416.32</v>
      </c>
      <c r="L8" s="350">
        <v>9229.7800000000007</v>
      </c>
    </row>
    <row r="9" spans="1:12" ht="25.5">
      <c r="A9" s="151">
        <v>300</v>
      </c>
      <c r="B9" s="336">
        <v>100</v>
      </c>
      <c r="C9" s="337">
        <v>100</v>
      </c>
      <c r="D9" s="152">
        <v>201</v>
      </c>
      <c r="E9" s="337">
        <v>0</v>
      </c>
      <c r="F9" s="337">
        <v>0</v>
      </c>
      <c r="G9" s="344" t="s">
        <v>2214</v>
      </c>
      <c r="H9" s="344" t="s">
        <v>2215</v>
      </c>
      <c r="I9" s="337" t="s">
        <v>546</v>
      </c>
      <c r="J9" s="337"/>
      <c r="K9" s="350">
        <v>20903.12</v>
      </c>
      <c r="L9" s="350">
        <v>0</v>
      </c>
    </row>
    <row r="10" spans="1:12">
      <c r="A10" s="151">
        <v>300</v>
      </c>
      <c r="B10" s="336">
        <v>100</v>
      </c>
      <c r="C10" s="337">
        <v>100</v>
      </c>
      <c r="D10" s="152">
        <v>250</v>
      </c>
      <c r="E10" s="337">
        <v>0</v>
      </c>
      <c r="F10" s="337">
        <v>0</v>
      </c>
      <c r="G10" s="344" t="s">
        <v>2335</v>
      </c>
      <c r="H10" s="344" t="s">
        <v>547</v>
      </c>
      <c r="I10" s="337" t="s">
        <v>548</v>
      </c>
      <c r="J10" s="337"/>
      <c r="K10" s="350">
        <v>72485.86</v>
      </c>
      <c r="L10" s="350">
        <v>86192.05</v>
      </c>
    </row>
    <row r="11" spans="1:12">
      <c r="A11" s="151">
        <v>300</v>
      </c>
      <c r="B11" s="336">
        <v>100</v>
      </c>
      <c r="C11" s="337">
        <v>100</v>
      </c>
      <c r="D11" s="152">
        <v>300</v>
      </c>
      <c r="E11" s="337">
        <v>0</v>
      </c>
      <c r="F11" s="337">
        <v>0</v>
      </c>
      <c r="G11" s="344" t="s">
        <v>2336</v>
      </c>
      <c r="H11" s="344" t="s">
        <v>549</v>
      </c>
      <c r="I11" s="337" t="s">
        <v>550</v>
      </c>
      <c r="J11" s="336"/>
      <c r="K11" s="351">
        <v>0</v>
      </c>
      <c r="L11" s="351">
        <v>0</v>
      </c>
    </row>
    <row r="12" spans="1:12" ht="38.25">
      <c r="A12" s="151">
        <v>300</v>
      </c>
      <c r="B12" s="336">
        <v>100</v>
      </c>
      <c r="C12" s="337">
        <v>100</v>
      </c>
      <c r="D12" s="152">
        <v>300</v>
      </c>
      <c r="E12" s="337">
        <v>100</v>
      </c>
      <c r="F12" s="337">
        <v>0</v>
      </c>
      <c r="G12" s="344" t="s">
        <v>2337</v>
      </c>
      <c r="H12" s="344" t="s">
        <v>551</v>
      </c>
      <c r="I12" s="337" t="s">
        <v>552</v>
      </c>
      <c r="J12" s="337" t="s">
        <v>1522</v>
      </c>
      <c r="K12" s="350">
        <v>0</v>
      </c>
      <c r="L12" s="350">
        <v>0</v>
      </c>
    </row>
    <row r="13" spans="1:12" ht="38.25">
      <c r="A13" s="151">
        <v>300</v>
      </c>
      <c r="B13" s="336">
        <v>100</v>
      </c>
      <c r="C13" s="337">
        <v>100</v>
      </c>
      <c r="D13" s="152">
        <v>300</v>
      </c>
      <c r="E13" s="337">
        <v>200</v>
      </c>
      <c r="F13" s="337">
        <v>0</v>
      </c>
      <c r="G13" s="344" t="s">
        <v>2338</v>
      </c>
      <c r="H13" s="344" t="s">
        <v>553</v>
      </c>
      <c r="I13" s="337" t="s">
        <v>554</v>
      </c>
      <c r="J13" s="337" t="s">
        <v>1567</v>
      </c>
      <c r="K13" s="350">
        <v>0</v>
      </c>
      <c r="L13" s="350">
        <v>0</v>
      </c>
    </row>
    <row r="14" spans="1:12">
      <c r="A14" s="151">
        <v>300</v>
      </c>
      <c r="B14" s="336">
        <v>100</v>
      </c>
      <c r="C14" s="337">
        <v>100</v>
      </c>
      <c r="D14" s="152">
        <v>300</v>
      </c>
      <c r="E14" s="337">
        <v>300</v>
      </c>
      <c r="F14" s="337">
        <v>0</v>
      </c>
      <c r="G14" s="344" t="s">
        <v>2339</v>
      </c>
      <c r="H14" s="344" t="s">
        <v>555</v>
      </c>
      <c r="I14" s="337" t="s">
        <v>556</v>
      </c>
      <c r="J14" s="337"/>
      <c r="K14" s="350">
        <v>0</v>
      </c>
      <c r="L14" s="350">
        <v>0</v>
      </c>
    </row>
    <row r="15" spans="1:12">
      <c r="A15" s="151">
        <v>300</v>
      </c>
      <c r="B15" s="336">
        <v>100</v>
      </c>
      <c r="C15" s="337">
        <v>200</v>
      </c>
      <c r="D15" s="337">
        <v>0</v>
      </c>
      <c r="E15" s="337">
        <v>0</v>
      </c>
      <c r="F15" s="337">
        <v>0</v>
      </c>
      <c r="G15" s="345" t="s">
        <v>2340</v>
      </c>
      <c r="H15" s="345" t="s">
        <v>557</v>
      </c>
      <c r="I15" s="346" t="s">
        <v>558</v>
      </c>
      <c r="J15" s="348"/>
      <c r="K15" s="351">
        <v>0</v>
      </c>
      <c r="L15" s="351">
        <v>0</v>
      </c>
    </row>
    <row r="16" spans="1:12" ht="25.5">
      <c r="A16" s="153">
        <v>300</v>
      </c>
      <c r="B16" s="337">
        <v>100</v>
      </c>
      <c r="C16" s="337">
        <v>200</v>
      </c>
      <c r="D16" s="152">
        <v>100</v>
      </c>
      <c r="E16" s="152">
        <v>0</v>
      </c>
      <c r="F16" s="152">
        <v>0</v>
      </c>
      <c r="G16" s="344" t="s">
        <v>2341</v>
      </c>
      <c r="H16" s="344" t="s">
        <v>559</v>
      </c>
      <c r="I16" s="346" t="s">
        <v>560</v>
      </c>
      <c r="J16" s="346" t="s">
        <v>1522</v>
      </c>
      <c r="K16" s="350">
        <v>0</v>
      </c>
      <c r="L16" s="350">
        <v>0</v>
      </c>
    </row>
    <row r="17" spans="1:12" ht="25.5">
      <c r="A17" s="151">
        <v>300</v>
      </c>
      <c r="B17" s="336">
        <v>100</v>
      </c>
      <c r="C17" s="337">
        <v>200</v>
      </c>
      <c r="D17" s="152">
        <v>200</v>
      </c>
      <c r="E17" s="337">
        <v>0</v>
      </c>
      <c r="F17" s="337">
        <v>0</v>
      </c>
      <c r="G17" s="344" t="s">
        <v>2342</v>
      </c>
      <c r="H17" s="344" t="s">
        <v>561</v>
      </c>
      <c r="I17" s="337" t="s">
        <v>562</v>
      </c>
      <c r="J17" s="337" t="s">
        <v>1567</v>
      </c>
      <c r="K17" s="350">
        <v>0</v>
      </c>
      <c r="L17" s="350">
        <v>0</v>
      </c>
    </row>
    <row r="18" spans="1:12">
      <c r="A18" s="151">
        <v>300</v>
      </c>
      <c r="B18" s="336">
        <v>100</v>
      </c>
      <c r="C18" s="337">
        <v>200</v>
      </c>
      <c r="D18" s="152">
        <v>300</v>
      </c>
      <c r="E18" s="337">
        <v>0</v>
      </c>
      <c r="F18" s="337">
        <v>0</v>
      </c>
      <c r="G18" s="344" t="s">
        <v>2343</v>
      </c>
      <c r="H18" s="344" t="s">
        <v>563</v>
      </c>
      <c r="I18" s="337" t="s">
        <v>564</v>
      </c>
      <c r="J18" s="337"/>
      <c r="K18" s="350">
        <v>0</v>
      </c>
      <c r="L18" s="350">
        <v>0</v>
      </c>
    </row>
    <row r="19" spans="1:12">
      <c r="A19" s="151">
        <v>300</v>
      </c>
      <c r="B19" s="336">
        <v>100</v>
      </c>
      <c r="C19" s="337">
        <v>300</v>
      </c>
      <c r="D19" s="337">
        <v>0</v>
      </c>
      <c r="E19" s="337">
        <v>0</v>
      </c>
      <c r="F19" s="337">
        <v>0</v>
      </c>
      <c r="G19" s="345" t="s">
        <v>2344</v>
      </c>
      <c r="H19" s="345" t="s">
        <v>565</v>
      </c>
      <c r="I19" s="337" t="s">
        <v>566</v>
      </c>
      <c r="J19" s="336"/>
      <c r="K19" s="351">
        <v>0</v>
      </c>
      <c r="L19" s="351">
        <v>0</v>
      </c>
    </row>
    <row r="20" spans="1:12">
      <c r="A20" s="151">
        <v>300</v>
      </c>
      <c r="B20" s="336">
        <v>100</v>
      </c>
      <c r="C20" s="337">
        <v>300</v>
      </c>
      <c r="D20" s="152">
        <v>100</v>
      </c>
      <c r="E20" s="337">
        <v>0</v>
      </c>
      <c r="F20" s="337">
        <v>0</v>
      </c>
      <c r="G20" s="344" t="s">
        <v>2345</v>
      </c>
      <c r="H20" s="344" t="s">
        <v>567</v>
      </c>
      <c r="I20" s="337" t="s">
        <v>568</v>
      </c>
      <c r="J20" s="337"/>
      <c r="K20" s="350">
        <v>2271251.7599999998</v>
      </c>
      <c r="L20" s="350">
        <v>2182402.4300000002</v>
      </c>
    </row>
    <row r="21" spans="1:12" ht="25.5">
      <c r="A21" s="151">
        <v>300</v>
      </c>
      <c r="B21" s="336">
        <v>100</v>
      </c>
      <c r="C21" s="337">
        <v>300</v>
      </c>
      <c r="D21" s="152">
        <v>101</v>
      </c>
      <c r="E21" s="337">
        <v>0</v>
      </c>
      <c r="F21" s="337">
        <v>0</v>
      </c>
      <c r="G21" s="344" t="s">
        <v>2216</v>
      </c>
      <c r="H21" s="344" t="s">
        <v>2217</v>
      </c>
      <c r="I21" s="337" t="s">
        <v>568</v>
      </c>
      <c r="J21" s="337"/>
      <c r="K21" s="350">
        <v>310881.28000000003</v>
      </c>
      <c r="L21" s="350">
        <v>0</v>
      </c>
    </row>
    <row r="22" spans="1:12">
      <c r="A22" s="151">
        <v>300</v>
      </c>
      <c r="B22" s="336">
        <v>100</v>
      </c>
      <c r="C22" s="337">
        <v>300</v>
      </c>
      <c r="D22" s="152">
        <v>200</v>
      </c>
      <c r="E22" s="337">
        <v>0</v>
      </c>
      <c r="F22" s="337">
        <v>0</v>
      </c>
      <c r="G22" s="344" t="s">
        <v>2346</v>
      </c>
      <c r="H22" s="344" t="s">
        <v>569</v>
      </c>
      <c r="I22" s="337" t="s">
        <v>570</v>
      </c>
      <c r="J22" s="337"/>
      <c r="K22" s="350">
        <v>353496</v>
      </c>
      <c r="L22" s="350">
        <v>387121.28</v>
      </c>
    </row>
    <row r="23" spans="1:12" ht="25.5">
      <c r="A23" s="151">
        <v>300</v>
      </c>
      <c r="B23" s="336">
        <v>100</v>
      </c>
      <c r="C23" s="337">
        <v>300</v>
      </c>
      <c r="D23" s="152">
        <v>201</v>
      </c>
      <c r="E23" s="337">
        <v>0</v>
      </c>
      <c r="F23" s="337">
        <v>0</v>
      </c>
      <c r="G23" s="344" t="s">
        <v>2218</v>
      </c>
      <c r="H23" s="344" t="s">
        <v>2219</v>
      </c>
      <c r="I23" s="337" t="s">
        <v>570</v>
      </c>
      <c r="J23" s="337"/>
      <c r="K23" s="350">
        <v>0</v>
      </c>
      <c r="L23" s="350">
        <v>0</v>
      </c>
    </row>
    <row r="24" spans="1:12">
      <c r="A24" s="151">
        <v>300</v>
      </c>
      <c r="B24" s="336">
        <v>100</v>
      </c>
      <c r="C24" s="337">
        <v>300</v>
      </c>
      <c r="D24" s="152">
        <v>300</v>
      </c>
      <c r="E24" s="337">
        <v>0</v>
      </c>
      <c r="F24" s="337">
        <v>0</v>
      </c>
      <c r="G24" s="344" t="s">
        <v>2347</v>
      </c>
      <c r="H24" s="344" t="s">
        <v>571</v>
      </c>
      <c r="I24" s="337" t="s">
        <v>572</v>
      </c>
      <c r="J24" s="337"/>
      <c r="K24" s="350">
        <v>4098202.24</v>
      </c>
      <c r="L24" s="350">
        <v>3675106.16</v>
      </c>
    </row>
    <row r="25" spans="1:12" ht="25.5">
      <c r="A25" s="151">
        <v>300</v>
      </c>
      <c r="B25" s="336">
        <v>100</v>
      </c>
      <c r="C25" s="337">
        <v>300</v>
      </c>
      <c r="D25" s="152">
        <v>301</v>
      </c>
      <c r="E25" s="337">
        <v>0</v>
      </c>
      <c r="F25" s="337">
        <v>0</v>
      </c>
      <c r="G25" s="344" t="s">
        <v>2220</v>
      </c>
      <c r="H25" s="344" t="s">
        <v>2221</v>
      </c>
      <c r="I25" s="337" t="s">
        <v>572</v>
      </c>
      <c r="J25" s="337"/>
      <c r="K25" s="350">
        <v>5512.58</v>
      </c>
      <c r="L25" s="350">
        <v>0</v>
      </c>
    </row>
    <row r="26" spans="1:12">
      <c r="A26" s="151">
        <v>300</v>
      </c>
      <c r="B26" s="336">
        <v>100</v>
      </c>
      <c r="C26" s="152">
        <v>400</v>
      </c>
      <c r="D26" s="337">
        <v>0</v>
      </c>
      <c r="E26" s="337">
        <v>0</v>
      </c>
      <c r="F26" s="337">
        <v>0</v>
      </c>
      <c r="G26" s="344" t="s">
        <v>2348</v>
      </c>
      <c r="H26" s="344" t="s">
        <v>573</v>
      </c>
      <c r="I26" s="337" t="s">
        <v>574</v>
      </c>
      <c r="J26" s="337"/>
      <c r="K26" s="350">
        <v>1804.59</v>
      </c>
      <c r="L26" s="350">
        <v>2911.14</v>
      </c>
    </row>
    <row r="27" spans="1:12" ht="25.5">
      <c r="A27" s="151">
        <v>300</v>
      </c>
      <c r="B27" s="336">
        <v>100</v>
      </c>
      <c r="C27" s="152">
        <v>401</v>
      </c>
      <c r="D27" s="337">
        <v>0</v>
      </c>
      <c r="E27" s="337">
        <v>0</v>
      </c>
      <c r="F27" s="337">
        <v>0</v>
      </c>
      <c r="G27" s="344" t="s">
        <v>2222</v>
      </c>
      <c r="H27" s="344" t="s">
        <v>2223</v>
      </c>
      <c r="I27" s="337" t="s">
        <v>574</v>
      </c>
      <c r="J27" s="337"/>
      <c r="K27" s="350">
        <v>1307.42</v>
      </c>
      <c r="L27" s="350">
        <v>0</v>
      </c>
    </row>
    <row r="28" spans="1:12">
      <c r="A28" s="151">
        <v>300</v>
      </c>
      <c r="B28" s="336">
        <v>100</v>
      </c>
      <c r="C28" s="152">
        <v>500</v>
      </c>
      <c r="D28" s="337">
        <v>0</v>
      </c>
      <c r="E28" s="337">
        <v>0</v>
      </c>
      <c r="F28" s="337">
        <v>0</v>
      </c>
      <c r="G28" s="344" t="s">
        <v>2349</v>
      </c>
      <c r="H28" s="344" t="s">
        <v>575</v>
      </c>
      <c r="I28" s="337" t="s">
        <v>576</v>
      </c>
      <c r="J28" s="337"/>
      <c r="K28" s="350">
        <v>0</v>
      </c>
      <c r="L28" s="350">
        <v>1324.82</v>
      </c>
    </row>
    <row r="29" spans="1:12" ht="25.5">
      <c r="A29" s="151">
        <v>300</v>
      </c>
      <c r="B29" s="336">
        <v>100</v>
      </c>
      <c r="C29" s="152">
        <v>501</v>
      </c>
      <c r="D29" s="337">
        <v>0</v>
      </c>
      <c r="E29" s="337">
        <v>0</v>
      </c>
      <c r="F29" s="337">
        <v>0</v>
      </c>
      <c r="G29" s="344" t="s">
        <v>2224</v>
      </c>
      <c r="H29" s="344" t="s">
        <v>2225</v>
      </c>
      <c r="I29" s="337" t="s">
        <v>576</v>
      </c>
      <c r="J29" s="337"/>
      <c r="K29" s="350">
        <v>333.49</v>
      </c>
      <c r="L29" s="350">
        <v>0</v>
      </c>
    </row>
    <row r="30" spans="1:12">
      <c r="A30" s="151">
        <v>300</v>
      </c>
      <c r="B30" s="336">
        <v>100</v>
      </c>
      <c r="C30" s="152">
        <v>600</v>
      </c>
      <c r="D30" s="337">
        <v>0</v>
      </c>
      <c r="E30" s="337">
        <v>0</v>
      </c>
      <c r="F30" s="337">
        <v>0</v>
      </c>
      <c r="G30" s="344" t="s">
        <v>2350</v>
      </c>
      <c r="H30" s="344" t="s">
        <v>577</v>
      </c>
      <c r="I30" s="337" t="s">
        <v>578</v>
      </c>
      <c r="J30" s="337"/>
      <c r="K30" s="350">
        <v>45057.06</v>
      </c>
      <c r="L30" s="350">
        <v>54813.86</v>
      </c>
    </row>
    <row r="31" spans="1:12" ht="25.5">
      <c r="A31" s="151">
        <v>300</v>
      </c>
      <c r="B31" s="336">
        <v>100</v>
      </c>
      <c r="C31" s="152">
        <v>601</v>
      </c>
      <c r="D31" s="337">
        <v>0</v>
      </c>
      <c r="E31" s="337">
        <v>0</v>
      </c>
      <c r="F31" s="337">
        <v>0</v>
      </c>
      <c r="G31" s="344" t="s">
        <v>2226</v>
      </c>
      <c r="H31" s="344" t="s">
        <v>2227</v>
      </c>
      <c r="I31" s="337" t="s">
        <v>578</v>
      </c>
      <c r="J31" s="337"/>
      <c r="K31" s="350">
        <v>0</v>
      </c>
      <c r="L31" s="350">
        <v>0</v>
      </c>
    </row>
    <row r="32" spans="1:12">
      <c r="A32" s="151">
        <v>300</v>
      </c>
      <c r="B32" s="336">
        <v>100</v>
      </c>
      <c r="C32" s="152">
        <v>700</v>
      </c>
      <c r="D32" s="337">
        <v>0</v>
      </c>
      <c r="E32" s="337">
        <v>0</v>
      </c>
      <c r="F32" s="337">
        <v>0</v>
      </c>
      <c r="G32" s="344" t="s">
        <v>2351</v>
      </c>
      <c r="H32" s="344" t="s">
        <v>579</v>
      </c>
      <c r="I32" s="337" t="s">
        <v>580</v>
      </c>
      <c r="J32" s="337"/>
      <c r="K32" s="350">
        <v>0</v>
      </c>
      <c r="L32" s="350">
        <v>0</v>
      </c>
    </row>
    <row r="33" spans="1:12" ht="25.5">
      <c r="A33" s="151">
        <v>300</v>
      </c>
      <c r="B33" s="336">
        <v>100</v>
      </c>
      <c r="C33" s="152">
        <v>701</v>
      </c>
      <c r="D33" s="337">
        <v>0</v>
      </c>
      <c r="E33" s="337">
        <v>0</v>
      </c>
      <c r="F33" s="337">
        <v>0</v>
      </c>
      <c r="G33" s="344" t="s">
        <v>2228</v>
      </c>
      <c r="H33" s="344" t="s">
        <v>2229</v>
      </c>
      <c r="I33" s="337" t="s">
        <v>580</v>
      </c>
      <c r="J33" s="337"/>
      <c r="K33" s="350">
        <v>0</v>
      </c>
      <c r="L33" s="350">
        <v>0</v>
      </c>
    </row>
    <row r="34" spans="1:12">
      <c r="A34" s="151">
        <v>300</v>
      </c>
      <c r="B34" s="336">
        <v>100</v>
      </c>
      <c r="C34" s="152">
        <v>800</v>
      </c>
      <c r="D34" s="337">
        <v>0</v>
      </c>
      <c r="E34" s="337">
        <v>0</v>
      </c>
      <c r="F34" s="337">
        <v>0</v>
      </c>
      <c r="G34" s="344" t="s">
        <v>2352</v>
      </c>
      <c r="H34" s="344" t="s">
        <v>581</v>
      </c>
      <c r="I34" s="337" t="s">
        <v>582</v>
      </c>
      <c r="J34" s="337"/>
      <c r="K34" s="350">
        <v>398407.2</v>
      </c>
      <c r="L34" s="350">
        <v>312028.78000000003</v>
      </c>
    </row>
    <row r="35" spans="1:12" ht="25.5">
      <c r="A35" s="151">
        <v>300</v>
      </c>
      <c r="B35" s="336">
        <v>100</v>
      </c>
      <c r="C35" s="152">
        <v>801</v>
      </c>
      <c r="D35" s="337">
        <v>0</v>
      </c>
      <c r="E35" s="337">
        <v>0</v>
      </c>
      <c r="F35" s="337">
        <v>0</v>
      </c>
      <c r="G35" s="344" t="s">
        <v>2230</v>
      </c>
      <c r="H35" s="344" t="s">
        <v>2231</v>
      </c>
      <c r="I35" s="337" t="s">
        <v>582</v>
      </c>
      <c r="J35" s="336"/>
      <c r="K35" s="352">
        <v>24972.26</v>
      </c>
      <c r="L35" s="352">
        <v>0</v>
      </c>
    </row>
    <row r="36" spans="1:12" ht="25.5">
      <c r="A36" s="151">
        <v>300</v>
      </c>
      <c r="B36" s="336">
        <v>100</v>
      </c>
      <c r="C36" s="337">
        <v>900</v>
      </c>
      <c r="D36" s="337">
        <v>0</v>
      </c>
      <c r="E36" s="337">
        <v>0</v>
      </c>
      <c r="F36" s="337">
        <v>0</v>
      </c>
      <c r="G36" s="345" t="s">
        <v>2232</v>
      </c>
      <c r="H36" s="345" t="s">
        <v>583</v>
      </c>
      <c r="I36" s="337" t="s">
        <v>584</v>
      </c>
      <c r="J36" s="336" t="s">
        <v>1522</v>
      </c>
      <c r="K36" s="351">
        <v>0</v>
      </c>
      <c r="L36" s="351">
        <v>0</v>
      </c>
    </row>
    <row r="37" spans="1:12" ht="25.5">
      <c r="A37" s="151">
        <v>300</v>
      </c>
      <c r="B37" s="336">
        <v>100</v>
      </c>
      <c r="C37" s="337">
        <v>900</v>
      </c>
      <c r="D37" s="152">
        <v>50</v>
      </c>
      <c r="E37" s="337">
        <v>0</v>
      </c>
      <c r="F37" s="337">
        <v>0</v>
      </c>
      <c r="G37" s="344" t="s">
        <v>2353</v>
      </c>
      <c r="H37" s="344" t="s">
        <v>542</v>
      </c>
      <c r="I37" s="337" t="s">
        <v>585</v>
      </c>
      <c r="J37" s="337" t="s">
        <v>1522</v>
      </c>
      <c r="K37" s="350">
        <v>2870685.4</v>
      </c>
      <c r="L37" s="350">
        <v>3111040.68</v>
      </c>
    </row>
    <row r="38" spans="1:12">
      <c r="A38" s="151">
        <v>300</v>
      </c>
      <c r="B38" s="336">
        <v>100</v>
      </c>
      <c r="C38" s="337">
        <v>900</v>
      </c>
      <c r="D38" s="152">
        <v>100</v>
      </c>
      <c r="E38" s="337">
        <v>0</v>
      </c>
      <c r="F38" s="337">
        <v>0</v>
      </c>
      <c r="G38" s="344" t="s">
        <v>2354</v>
      </c>
      <c r="H38" s="344" t="s">
        <v>545</v>
      </c>
      <c r="I38" s="337" t="s">
        <v>585</v>
      </c>
      <c r="J38" s="337" t="s">
        <v>1522</v>
      </c>
      <c r="K38" s="350">
        <v>150576.75</v>
      </c>
      <c r="L38" s="350">
        <v>74829.81</v>
      </c>
    </row>
    <row r="39" spans="1:12">
      <c r="A39" s="151">
        <v>300</v>
      </c>
      <c r="B39" s="336">
        <v>100</v>
      </c>
      <c r="C39" s="337">
        <v>900</v>
      </c>
      <c r="D39" s="152">
        <v>150</v>
      </c>
      <c r="E39" s="337">
        <v>0</v>
      </c>
      <c r="F39" s="337">
        <v>0</v>
      </c>
      <c r="G39" s="344" t="s">
        <v>2355</v>
      </c>
      <c r="H39" s="344" t="s">
        <v>549</v>
      </c>
      <c r="I39" s="337" t="s">
        <v>585</v>
      </c>
      <c r="J39" s="336" t="s">
        <v>1522</v>
      </c>
      <c r="K39" s="352">
        <v>0</v>
      </c>
      <c r="L39" s="352">
        <v>0</v>
      </c>
    </row>
    <row r="40" spans="1:12">
      <c r="A40" s="151">
        <v>300</v>
      </c>
      <c r="B40" s="336">
        <v>100</v>
      </c>
      <c r="C40" s="337">
        <v>900</v>
      </c>
      <c r="D40" s="152">
        <v>200</v>
      </c>
      <c r="E40" s="337">
        <v>0</v>
      </c>
      <c r="F40" s="337">
        <v>0</v>
      </c>
      <c r="G40" s="344" t="s">
        <v>2356</v>
      </c>
      <c r="H40" s="344" t="s">
        <v>567</v>
      </c>
      <c r="I40" s="337" t="s">
        <v>586</v>
      </c>
      <c r="J40" s="337" t="s">
        <v>1522</v>
      </c>
      <c r="K40" s="350">
        <v>1634089.99</v>
      </c>
      <c r="L40" s="350">
        <v>1587788.32</v>
      </c>
    </row>
    <row r="41" spans="1:12">
      <c r="A41" s="151">
        <v>300</v>
      </c>
      <c r="B41" s="336">
        <v>100</v>
      </c>
      <c r="C41" s="337">
        <v>900</v>
      </c>
      <c r="D41" s="152">
        <v>250</v>
      </c>
      <c r="E41" s="337">
        <v>0</v>
      </c>
      <c r="F41" s="337">
        <v>0</v>
      </c>
      <c r="G41" s="344" t="s">
        <v>2357</v>
      </c>
      <c r="H41" s="344" t="s">
        <v>569</v>
      </c>
      <c r="I41" s="337" t="s">
        <v>586</v>
      </c>
      <c r="J41" s="337" t="s">
        <v>1522</v>
      </c>
      <c r="K41" s="350">
        <v>0</v>
      </c>
      <c r="L41" s="350">
        <v>0</v>
      </c>
    </row>
    <row r="42" spans="1:12">
      <c r="A42" s="151">
        <v>300</v>
      </c>
      <c r="B42" s="336">
        <v>100</v>
      </c>
      <c r="C42" s="337">
        <v>900</v>
      </c>
      <c r="D42" s="152">
        <v>300</v>
      </c>
      <c r="E42" s="337">
        <v>0</v>
      </c>
      <c r="F42" s="337">
        <v>0</v>
      </c>
      <c r="G42" s="344" t="s">
        <v>2358</v>
      </c>
      <c r="H42" s="344" t="s">
        <v>571</v>
      </c>
      <c r="I42" s="337" t="s">
        <v>586</v>
      </c>
      <c r="J42" s="337" t="s">
        <v>1522</v>
      </c>
      <c r="K42" s="350">
        <v>39198.61</v>
      </c>
      <c r="L42" s="350">
        <v>30713</v>
      </c>
    </row>
    <row r="43" spans="1:12">
      <c r="A43" s="151">
        <v>300</v>
      </c>
      <c r="B43" s="336">
        <v>100</v>
      </c>
      <c r="C43" s="337">
        <v>900</v>
      </c>
      <c r="D43" s="152">
        <v>350</v>
      </c>
      <c r="E43" s="337">
        <v>0</v>
      </c>
      <c r="F43" s="337">
        <v>0</v>
      </c>
      <c r="G43" s="344" t="s">
        <v>2359</v>
      </c>
      <c r="H43" s="344" t="s">
        <v>573</v>
      </c>
      <c r="I43" s="337" t="s">
        <v>587</v>
      </c>
      <c r="J43" s="337" t="s">
        <v>1522</v>
      </c>
      <c r="K43" s="350">
        <v>14767.4</v>
      </c>
      <c r="L43" s="350">
        <v>16005.67</v>
      </c>
    </row>
    <row r="44" spans="1:12">
      <c r="A44" s="151">
        <v>300</v>
      </c>
      <c r="B44" s="336">
        <v>100</v>
      </c>
      <c r="C44" s="337">
        <v>900</v>
      </c>
      <c r="D44" s="152">
        <v>400</v>
      </c>
      <c r="E44" s="337">
        <v>0</v>
      </c>
      <c r="F44" s="337">
        <v>0</v>
      </c>
      <c r="G44" s="344" t="s">
        <v>2360</v>
      </c>
      <c r="H44" s="344" t="s">
        <v>575</v>
      </c>
      <c r="I44" s="337" t="s">
        <v>588</v>
      </c>
      <c r="J44" s="337" t="s">
        <v>1522</v>
      </c>
      <c r="K44" s="350">
        <v>15634.62</v>
      </c>
      <c r="L44" s="350">
        <v>12542.98</v>
      </c>
    </row>
    <row r="45" spans="1:12">
      <c r="A45" s="151">
        <v>300</v>
      </c>
      <c r="B45" s="336">
        <v>100</v>
      </c>
      <c r="C45" s="337">
        <v>900</v>
      </c>
      <c r="D45" s="152">
        <v>450</v>
      </c>
      <c r="E45" s="337">
        <v>0</v>
      </c>
      <c r="F45" s="337">
        <v>0</v>
      </c>
      <c r="G45" s="344" t="s">
        <v>2361</v>
      </c>
      <c r="H45" s="344" t="s">
        <v>577</v>
      </c>
      <c r="I45" s="337" t="s">
        <v>589</v>
      </c>
      <c r="J45" s="337" t="s">
        <v>1522</v>
      </c>
      <c r="K45" s="350">
        <v>2373</v>
      </c>
      <c r="L45" s="350">
        <v>0</v>
      </c>
    </row>
    <row r="46" spans="1:12">
      <c r="A46" s="151">
        <v>300</v>
      </c>
      <c r="B46" s="336">
        <v>100</v>
      </c>
      <c r="C46" s="337">
        <v>900</v>
      </c>
      <c r="D46" s="152">
        <v>500</v>
      </c>
      <c r="E46" s="337">
        <v>0</v>
      </c>
      <c r="F46" s="337">
        <v>0</v>
      </c>
      <c r="G46" s="344" t="s">
        <v>2362</v>
      </c>
      <c r="H46" s="344" t="s">
        <v>579</v>
      </c>
      <c r="I46" s="337" t="s">
        <v>590</v>
      </c>
      <c r="J46" s="337" t="s">
        <v>1522</v>
      </c>
      <c r="K46" s="350">
        <v>0</v>
      </c>
      <c r="L46" s="350">
        <v>0</v>
      </c>
    </row>
    <row r="47" spans="1:12">
      <c r="A47" s="153">
        <v>300</v>
      </c>
      <c r="B47" s="337">
        <v>100</v>
      </c>
      <c r="C47" s="337">
        <v>900</v>
      </c>
      <c r="D47" s="152">
        <v>900</v>
      </c>
      <c r="E47" s="152">
        <v>0</v>
      </c>
      <c r="F47" s="152">
        <v>0</v>
      </c>
      <c r="G47" s="344" t="s">
        <v>2363</v>
      </c>
      <c r="H47" s="344" t="s">
        <v>591</v>
      </c>
      <c r="I47" s="337" t="s">
        <v>592</v>
      </c>
      <c r="J47" s="336" t="s">
        <v>1522</v>
      </c>
      <c r="K47" s="352">
        <v>55851.91</v>
      </c>
      <c r="L47" s="352">
        <v>120797.57</v>
      </c>
    </row>
    <row r="48" spans="1:12">
      <c r="A48" s="151">
        <v>300</v>
      </c>
      <c r="B48" s="336">
        <v>200</v>
      </c>
      <c r="C48" s="337">
        <v>0</v>
      </c>
      <c r="D48" s="337">
        <v>0</v>
      </c>
      <c r="E48" s="152">
        <v>0</v>
      </c>
      <c r="F48" s="152">
        <v>0</v>
      </c>
      <c r="G48" s="353" t="s">
        <v>2364</v>
      </c>
      <c r="H48" s="353" t="s">
        <v>593</v>
      </c>
      <c r="I48" s="337" t="s">
        <v>594</v>
      </c>
      <c r="J48" s="336"/>
      <c r="K48" s="351">
        <v>0</v>
      </c>
      <c r="L48" s="351">
        <v>0</v>
      </c>
    </row>
    <row r="49" spans="1:12">
      <c r="A49" s="151">
        <v>300</v>
      </c>
      <c r="B49" s="336">
        <v>200</v>
      </c>
      <c r="C49" s="152">
        <v>100</v>
      </c>
      <c r="D49" s="337">
        <v>0</v>
      </c>
      <c r="E49" s="337">
        <v>0</v>
      </c>
      <c r="F49" s="337">
        <v>0</v>
      </c>
      <c r="G49" s="344" t="s">
        <v>2365</v>
      </c>
      <c r="H49" s="344" t="s">
        <v>595</v>
      </c>
      <c r="I49" s="337" t="s">
        <v>596</v>
      </c>
      <c r="J49" s="337"/>
      <c r="K49" s="350">
        <v>4416.28</v>
      </c>
      <c r="L49" s="350">
        <v>4772.3500000000004</v>
      </c>
    </row>
    <row r="50" spans="1:12" ht="25.5">
      <c r="A50" s="151">
        <v>300</v>
      </c>
      <c r="B50" s="336">
        <v>200</v>
      </c>
      <c r="C50" s="152">
        <v>101</v>
      </c>
      <c r="D50" s="337">
        <v>0</v>
      </c>
      <c r="E50" s="337">
        <v>0</v>
      </c>
      <c r="F50" s="337">
        <v>0</v>
      </c>
      <c r="G50" s="344" t="s">
        <v>2233</v>
      </c>
      <c r="H50" s="344" t="s">
        <v>2234</v>
      </c>
      <c r="I50" s="337" t="s">
        <v>596</v>
      </c>
      <c r="J50" s="337"/>
      <c r="K50" s="350">
        <v>2252.11</v>
      </c>
      <c r="L50" s="350">
        <v>0</v>
      </c>
    </row>
    <row r="51" spans="1:12" ht="25.5">
      <c r="A51" s="151">
        <v>300</v>
      </c>
      <c r="B51" s="336">
        <v>200</v>
      </c>
      <c r="C51" s="152">
        <v>200</v>
      </c>
      <c r="D51" s="337">
        <v>0</v>
      </c>
      <c r="E51" s="337">
        <v>0</v>
      </c>
      <c r="F51" s="337">
        <v>0</v>
      </c>
      <c r="G51" s="344" t="s">
        <v>2366</v>
      </c>
      <c r="H51" s="344" t="s">
        <v>597</v>
      </c>
      <c r="I51" s="337" t="s">
        <v>598</v>
      </c>
      <c r="J51" s="337"/>
      <c r="K51" s="350">
        <v>7736.57</v>
      </c>
      <c r="L51" s="350">
        <v>47072.65</v>
      </c>
    </row>
    <row r="52" spans="1:12" ht="25.5">
      <c r="A52" s="151">
        <v>300</v>
      </c>
      <c r="B52" s="336">
        <v>200</v>
      </c>
      <c r="C52" s="152">
        <v>201</v>
      </c>
      <c r="D52" s="337">
        <v>0</v>
      </c>
      <c r="E52" s="337">
        <v>0</v>
      </c>
      <c r="F52" s="337">
        <v>0</v>
      </c>
      <c r="G52" s="344" t="s">
        <v>2235</v>
      </c>
      <c r="H52" s="344" t="s">
        <v>2236</v>
      </c>
      <c r="I52" s="337" t="s">
        <v>598</v>
      </c>
      <c r="J52" s="337"/>
      <c r="K52" s="350">
        <v>23365.42</v>
      </c>
      <c r="L52" s="350">
        <v>0</v>
      </c>
    </row>
    <row r="53" spans="1:12">
      <c r="A53" s="151">
        <v>300</v>
      </c>
      <c r="B53" s="336">
        <v>200</v>
      </c>
      <c r="C53" s="152">
        <v>300</v>
      </c>
      <c r="D53" s="337">
        <v>0</v>
      </c>
      <c r="E53" s="337">
        <v>0</v>
      </c>
      <c r="F53" s="337">
        <v>0</v>
      </c>
      <c r="G53" s="344" t="s">
        <v>2367</v>
      </c>
      <c r="H53" s="344" t="s">
        <v>599</v>
      </c>
      <c r="I53" s="337" t="s">
        <v>600</v>
      </c>
      <c r="J53" s="337"/>
      <c r="K53" s="350">
        <v>9072.25</v>
      </c>
      <c r="L53" s="350">
        <v>6140.87</v>
      </c>
    </row>
    <row r="54" spans="1:12" ht="25.5">
      <c r="A54" s="151">
        <v>300</v>
      </c>
      <c r="B54" s="336">
        <v>200</v>
      </c>
      <c r="C54" s="152">
        <v>301</v>
      </c>
      <c r="D54" s="337">
        <v>0</v>
      </c>
      <c r="E54" s="337">
        <v>0</v>
      </c>
      <c r="F54" s="337">
        <v>0</v>
      </c>
      <c r="G54" s="344" t="s">
        <v>2237</v>
      </c>
      <c r="H54" s="344" t="s">
        <v>2238</v>
      </c>
      <c r="I54" s="337" t="s">
        <v>600</v>
      </c>
      <c r="J54" s="336"/>
      <c r="K54" s="352">
        <v>0</v>
      </c>
      <c r="L54" s="352">
        <v>0</v>
      </c>
    </row>
    <row r="55" spans="1:12">
      <c r="A55" s="151">
        <v>300</v>
      </c>
      <c r="B55" s="336">
        <v>200</v>
      </c>
      <c r="C55" s="337">
        <v>400</v>
      </c>
      <c r="D55" s="337">
        <v>0</v>
      </c>
      <c r="E55" s="337">
        <v>0</v>
      </c>
      <c r="F55" s="337">
        <v>0</v>
      </c>
      <c r="G55" s="345" t="s">
        <v>2368</v>
      </c>
      <c r="H55" s="345" t="s">
        <v>601</v>
      </c>
      <c r="I55" s="337" t="s">
        <v>602</v>
      </c>
      <c r="J55" s="336"/>
      <c r="K55" s="351">
        <v>0</v>
      </c>
      <c r="L55" s="351">
        <v>0</v>
      </c>
    </row>
    <row r="56" spans="1:12">
      <c r="A56" s="151">
        <v>300</v>
      </c>
      <c r="B56" s="336">
        <v>200</v>
      </c>
      <c r="C56" s="337">
        <v>400</v>
      </c>
      <c r="D56" s="152">
        <v>100</v>
      </c>
      <c r="E56" s="337">
        <v>0</v>
      </c>
      <c r="F56" s="337">
        <v>0</v>
      </c>
      <c r="G56" s="344" t="s">
        <v>2369</v>
      </c>
      <c r="H56" s="344" t="s">
        <v>603</v>
      </c>
      <c r="I56" s="354"/>
      <c r="J56" s="354"/>
      <c r="K56" s="350">
        <v>114493.06</v>
      </c>
      <c r="L56" s="350">
        <v>119826.42</v>
      </c>
    </row>
    <row r="57" spans="1:12">
      <c r="A57" s="151">
        <v>300</v>
      </c>
      <c r="B57" s="336">
        <v>200</v>
      </c>
      <c r="C57" s="337">
        <v>400</v>
      </c>
      <c r="D57" s="152">
        <v>200</v>
      </c>
      <c r="E57" s="337">
        <v>0</v>
      </c>
      <c r="F57" s="337">
        <v>0</v>
      </c>
      <c r="G57" s="344" t="s">
        <v>2370</v>
      </c>
      <c r="H57" s="344" t="s">
        <v>604</v>
      </c>
      <c r="I57" s="354"/>
      <c r="J57" s="354"/>
      <c r="K57" s="350">
        <v>8805.14</v>
      </c>
      <c r="L57" s="350">
        <v>7906.39</v>
      </c>
    </row>
    <row r="58" spans="1:12">
      <c r="A58" s="151">
        <v>300</v>
      </c>
      <c r="B58" s="336">
        <v>200</v>
      </c>
      <c r="C58" s="337">
        <v>400</v>
      </c>
      <c r="D58" s="152">
        <v>300</v>
      </c>
      <c r="E58" s="337">
        <v>0</v>
      </c>
      <c r="F58" s="337">
        <v>0</v>
      </c>
      <c r="G58" s="344" t="s">
        <v>2371</v>
      </c>
      <c r="H58" s="344" t="s">
        <v>605</v>
      </c>
      <c r="I58" s="354"/>
      <c r="J58" s="354"/>
      <c r="K58" s="350">
        <v>17091.09</v>
      </c>
      <c r="L58" s="350">
        <v>11745.95</v>
      </c>
    </row>
    <row r="59" spans="1:12" ht="25.5">
      <c r="A59" s="151">
        <v>300</v>
      </c>
      <c r="B59" s="336">
        <v>200</v>
      </c>
      <c r="C59" s="337">
        <v>400</v>
      </c>
      <c r="D59" s="152">
        <v>400</v>
      </c>
      <c r="E59" s="337">
        <v>0</v>
      </c>
      <c r="F59" s="337">
        <v>0</v>
      </c>
      <c r="G59" s="344" t="s">
        <v>2239</v>
      </c>
      <c r="H59" s="344" t="s">
        <v>2240</v>
      </c>
      <c r="I59" s="354"/>
      <c r="J59" s="370"/>
      <c r="K59" s="352">
        <v>19335.740000000002</v>
      </c>
      <c r="L59" s="352">
        <v>0</v>
      </c>
    </row>
    <row r="60" spans="1:12">
      <c r="A60" s="151">
        <v>300</v>
      </c>
      <c r="B60" s="336">
        <v>200</v>
      </c>
      <c r="C60" s="337">
        <v>500</v>
      </c>
      <c r="D60" s="337">
        <v>0</v>
      </c>
      <c r="E60" s="337">
        <v>0</v>
      </c>
      <c r="F60" s="337">
        <v>0</v>
      </c>
      <c r="G60" s="345" t="s">
        <v>2372</v>
      </c>
      <c r="H60" s="345" t="s">
        <v>606</v>
      </c>
      <c r="I60" s="337" t="s">
        <v>607</v>
      </c>
      <c r="J60" s="336"/>
      <c r="K60" s="351">
        <v>0</v>
      </c>
      <c r="L60" s="351">
        <v>0</v>
      </c>
    </row>
    <row r="61" spans="1:12">
      <c r="A61" s="151">
        <v>300</v>
      </c>
      <c r="B61" s="336">
        <v>200</v>
      </c>
      <c r="C61" s="337">
        <v>500</v>
      </c>
      <c r="D61" s="152">
        <v>100</v>
      </c>
      <c r="E61" s="337">
        <v>0</v>
      </c>
      <c r="F61" s="337">
        <v>0</v>
      </c>
      <c r="G61" s="344" t="s">
        <v>2373</v>
      </c>
      <c r="H61" s="344" t="s">
        <v>608</v>
      </c>
      <c r="I61" s="154"/>
      <c r="J61" s="154"/>
      <c r="K61" s="350">
        <v>18929.62</v>
      </c>
      <c r="L61" s="350">
        <v>15968.48</v>
      </c>
    </row>
    <row r="62" spans="1:12">
      <c r="A62" s="151">
        <v>300</v>
      </c>
      <c r="B62" s="336">
        <v>200</v>
      </c>
      <c r="C62" s="337">
        <v>500</v>
      </c>
      <c r="D62" s="152">
        <v>200</v>
      </c>
      <c r="E62" s="337">
        <v>0</v>
      </c>
      <c r="F62" s="337">
        <v>0</v>
      </c>
      <c r="G62" s="344" t="s">
        <v>2374</v>
      </c>
      <c r="H62" s="344" t="s">
        <v>609</v>
      </c>
      <c r="I62" s="154"/>
      <c r="J62" s="154"/>
      <c r="K62" s="350">
        <v>2301.4</v>
      </c>
      <c r="L62" s="350">
        <v>4104.18</v>
      </c>
    </row>
    <row r="63" spans="1:12" ht="25.5">
      <c r="A63" s="151">
        <v>300</v>
      </c>
      <c r="B63" s="336">
        <v>200</v>
      </c>
      <c r="C63" s="337">
        <v>500</v>
      </c>
      <c r="D63" s="152">
        <v>300</v>
      </c>
      <c r="E63" s="337">
        <v>0</v>
      </c>
      <c r="F63" s="337">
        <v>0</v>
      </c>
      <c r="G63" s="344" t="s">
        <v>2241</v>
      </c>
      <c r="H63" s="344" t="s">
        <v>2242</v>
      </c>
      <c r="I63" s="154"/>
      <c r="J63" s="154"/>
      <c r="K63" s="350">
        <v>0</v>
      </c>
      <c r="L63" s="350">
        <v>0</v>
      </c>
    </row>
    <row r="64" spans="1:12">
      <c r="A64" s="151">
        <v>300</v>
      </c>
      <c r="B64" s="336">
        <v>200</v>
      </c>
      <c r="C64" s="152">
        <v>600</v>
      </c>
      <c r="D64" s="337">
        <v>0</v>
      </c>
      <c r="E64" s="337">
        <v>0</v>
      </c>
      <c r="F64" s="337">
        <v>0</v>
      </c>
      <c r="G64" s="344" t="s">
        <v>2375</v>
      </c>
      <c r="H64" s="344" t="s">
        <v>610</v>
      </c>
      <c r="I64" s="337" t="s">
        <v>611</v>
      </c>
      <c r="J64" s="337"/>
      <c r="K64" s="350">
        <v>30140.03</v>
      </c>
      <c r="L64" s="350">
        <v>52951.94</v>
      </c>
    </row>
    <row r="65" spans="1:12" ht="25.5">
      <c r="A65" s="151">
        <v>300</v>
      </c>
      <c r="B65" s="336">
        <v>200</v>
      </c>
      <c r="C65" s="152">
        <v>601</v>
      </c>
      <c r="D65" s="337">
        <v>0</v>
      </c>
      <c r="E65" s="337">
        <v>0</v>
      </c>
      <c r="F65" s="337">
        <v>0</v>
      </c>
      <c r="G65" s="344" t="s">
        <v>2243</v>
      </c>
      <c r="H65" s="344" t="s">
        <v>2244</v>
      </c>
      <c r="I65" s="337" t="s">
        <v>611</v>
      </c>
      <c r="J65" s="336"/>
      <c r="K65" s="352">
        <v>564.88</v>
      </c>
      <c r="L65" s="352">
        <v>0</v>
      </c>
    </row>
    <row r="66" spans="1:12" ht="25.5">
      <c r="A66" s="151">
        <v>300</v>
      </c>
      <c r="B66" s="336">
        <v>200</v>
      </c>
      <c r="C66" s="337">
        <v>700</v>
      </c>
      <c r="D66" s="337">
        <v>0</v>
      </c>
      <c r="E66" s="337">
        <v>0</v>
      </c>
      <c r="F66" s="337">
        <v>0</v>
      </c>
      <c r="G66" s="345" t="s">
        <v>2376</v>
      </c>
      <c r="H66" s="345" t="s">
        <v>612</v>
      </c>
      <c r="I66" s="337" t="s">
        <v>613</v>
      </c>
      <c r="J66" s="336" t="s">
        <v>1522</v>
      </c>
      <c r="K66" s="351">
        <v>0</v>
      </c>
      <c r="L66" s="351">
        <v>0</v>
      </c>
    </row>
    <row r="67" spans="1:12">
      <c r="A67" s="151">
        <v>300</v>
      </c>
      <c r="B67" s="336">
        <v>200</v>
      </c>
      <c r="C67" s="337">
        <v>700</v>
      </c>
      <c r="D67" s="152">
        <v>100</v>
      </c>
      <c r="E67" s="337">
        <v>0</v>
      </c>
      <c r="F67" s="337">
        <v>0</v>
      </c>
      <c r="G67" s="344" t="s">
        <v>2377</v>
      </c>
      <c r="H67" s="344" t="s">
        <v>595</v>
      </c>
      <c r="I67" s="337"/>
      <c r="J67" s="337" t="s">
        <v>1522</v>
      </c>
      <c r="K67" s="350">
        <v>10811.62</v>
      </c>
      <c r="L67" s="350">
        <v>9893.93</v>
      </c>
    </row>
    <row r="68" spans="1:12" ht="25.5">
      <c r="A68" s="151">
        <v>300</v>
      </c>
      <c r="B68" s="336">
        <v>200</v>
      </c>
      <c r="C68" s="337">
        <v>700</v>
      </c>
      <c r="D68" s="152">
        <v>200</v>
      </c>
      <c r="E68" s="337">
        <v>0</v>
      </c>
      <c r="F68" s="337">
        <v>0</v>
      </c>
      <c r="G68" s="344" t="s">
        <v>2378</v>
      </c>
      <c r="H68" s="344" t="s">
        <v>597</v>
      </c>
      <c r="I68" s="337"/>
      <c r="J68" s="337" t="s">
        <v>1522</v>
      </c>
      <c r="K68" s="350">
        <v>126937.49</v>
      </c>
      <c r="L68" s="350">
        <v>256118.51</v>
      </c>
    </row>
    <row r="69" spans="1:12">
      <c r="A69" s="151">
        <v>300</v>
      </c>
      <c r="B69" s="336">
        <v>200</v>
      </c>
      <c r="C69" s="337">
        <v>700</v>
      </c>
      <c r="D69" s="152">
        <v>300</v>
      </c>
      <c r="E69" s="337">
        <v>0</v>
      </c>
      <c r="F69" s="337">
        <v>0</v>
      </c>
      <c r="G69" s="344" t="s">
        <v>2379</v>
      </c>
      <c r="H69" s="344" t="s">
        <v>599</v>
      </c>
      <c r="I69" s="337"/>
      <c r="J69" s="337" t="s">
        <v>1522</v>
      </c>
      <c r="K69" s="350">
        <v>0</v>
      </c>
      <c r="L69" s="350">
        <v>0</v>
      </c>
    </row>
    <row r="70" spans="1:12">
      <c r="A70" s="151">
        <v>300</v>
      </c>
      <c r="B70" s="336">
        <v>200</v>
      </c>
      <c r="C70" s="337">
        <v>700</v>
      </c>
      <c r="D70" s="152">
        <v>400</v>
      </c>
      <c r="E70" s="337">
        <v>0</v>
      </c>
      <c r="F70" s="337">
        <v>0</v>
      </c>
      <c r="G70" s="344" t="s">
        <v>2380</v>
      </c>
      <c r="H70" s="344" t="s">
        <v>601</v>
      </c>
      <c r="I70" s="337"/>
      <c r="J70" s="337" t="s">
        <v>1522</v>
      </c>
      <c r="K70" s="350">
        <v>87892.78</v>
      </c>
      <c r="L70" s="350">
        <v>67481.070000000007</v>
      </c>
    </row>
    <row r="71" spans="1:12">
      <c r="A71" s="151">
        <v>300</v>
      </c>
      <c r="B71" s="336">
        <v>200</v>
      </c>
      <c r="C71" s="337">
        <v>700</v>
      </c>
      <c r="D71" s="152">
        <v>500</v>
      </c>
      <c r="E71" s="337">
        <v>0</v>
      </c>
      <c r="F71" s="337">
        <v>0</v>
      </c>
      <c r="G71" s="344" t="s">
        <v>2381</v>
      </c>
      <c r="H71" s="344" t="s">
        <v>606</v>
      </c>
      <c r="I71" s="337"/>
      <c r="J71" s="337" t="s">
        <v>1522</v>
      </c>
      <c r="K71" s="350">
        <v>0</v>
      </c>
      <c r="L71" s="350">
        <v>505</v>
      </c>
    </row>
    <row r="72" spans="1:12" ht="25.5">
      <c r="A72" s="153">
        <v>300</v>
      </c>
      <c r="B72" s="337">
        <v>200</v>
      </c>
      <c r="C72" s="337">
        <v>700</v>
      </c>
      <c r="D72" s="152">
        <v>900</v>
      </c>
      <c r="E72" s="152">
        <v>0</v>
      </c>
      <c r="F72" s="152">
        <v>0</v>
      </c>
      <c r="G72" s="344" t="s">
        <v>2382</v>
      </c>
      <c r="H72" s="344" t="s">
        <v>614</v>
      </c>
      <c r="I72" s="346"/>
      <c r="J72" s="346" t="s">
        <v>1522</v>
      </c>
      <c r="K72" s="350">
        <v>2567.65</v>
      </c>
      <c r="L72" s="350">
        <v>2065.1999999999998</v>
      </c>
    </row>
    <row r="73" spans="1:12">
      <c r="A73" s="150">
        <v>305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355">
        <v>305</v>
      </c>
      <c r="H73" s="355" t="s">
        <v>615</v>
      </c>
      <c r="I73" s="57" t="s">
        <v>616</v>
      </c>
      <c r="J73" s="57"/>
      <c r="K73" s="351">
        <v>0</v>
      </c>
      <c r="L73" s="351">
        <v>0</v>
      </c>
    </row>
    <row r="74" spans="1:12">
      <c r="A74" s="153">
        <v>305</v>
      </c>
      <c r="B74" s="337">
        <v>100</v>
      </c>
      <c r="C74" s="337">
        <v>0</v>
      </c>
      <c r="D74" s="337">
        <v>0</v>
      </c>
      <c r="E74" s="337">
        <v>0</v>
      </c>
      <c r="F74" s="337">
        <v>0</v>
      </c>
      <c r="G74" s="345" t="s">
        <v>2383</v>
      </c>
      <c r="H74" s="345" t="s">
        <v>617</v>
      </c>
      <c r="I74" s="337" t="s">
        <v>618</v>
      </c>
      <c r="J74" s="336"/>
      <c r="K74" s="351">
        <v>0</v>
      </c>
      <c r="L74" s="351">
        <v>0</v>
      </c>
    </row>
    <row r="75" spans="1:12">
      <c r="A75" s="153">
        <v>305</v>
      </c>
      <c r="B75" s="337">
        <v>100</v>
      </c>
      <c r="C75" s="337">
        <v>50</v>
      </c>
      <c r="D75" s="337">
        <v>0</v>
      </c>
      <c r="E75" s="337">
        <v>0</v>
      </c>
      <c r="F75" s="337">
        <v>0</v>
      </c>
      <c r="G75" s="345" t="s">
        <v>2384</v>
      </c>
      <c r="H75" s="345" t="s">
        <v>619</v>
      </c>
      <c r="I75" s="337" t="s">
        <v>620</v>
      </c>
      <c r="J75" s="336"/>
      <c r="K75" s="351">
        <v>0</v>
      </c>
      <c r="L75" s="351">
        <v>0</v>
      </c>
    </row>
    <row r="76" spans="1:12">
      <c r="A76" s="153">
        <v>305</v>
      </c>
      <c r="B76" s="337">
        <v>100</v>
      </c>
      <c r="C76" s="337">
        <v>50</v>
      </c>
      <c r="D76" s="337">
        <v>100</v>
      </c>
      <c r="E76" s="337">
        <v>0</v>
      </c>
      <c r="F76" s="337">
        <v>0</v>
      </c>
      <c r="G76" s="356" t="s">
        <v>2385</v>
      </c>
      <c r="H76" s="356" t="s">
        <v>621</v>
      </c>
      <c r="I76" s="337" t="s">
        <v>622</v>
      </c>
      <c r="J76" s="336"/>
      <c r="K76" s="351">
        <v>0</v>
      </c>
      <c r="L76" s="351">
        <v>0</v>
      </c>
    </row>
    <row r="77" spans="1:12">
      <c r="A77" s="153">
        <v>305</v>
      </c>
      <c r="B77" s="337">
        <v>100</v>
      </c>
      <c r="C77" s="337">
        <v>50</v>
      </c>
      <c r="D77" s="337">
        <v>100</v>
      </c>
      <c r="E77" s="337">
        <v>10</v>
      </c>
      <c r="F77" s="337">
        <v>0</v>
      </c>
      <c r="G77" s="345" t="s">
        <v>2386</v>
      </c>
      <c r="H77" s="345" t="s">
        <v>623</v>
      </c>
      <c r="I77" s="337" t="s">
        <v>624</v>
      </c>
      <c r="J77" s="336"/>
      <c r="K77" s="351">
        <v>0</v>
      </c>
      <c r="L77" s="351">
        <v>0</v>
      </c>
    </row>
    <row r="78" spans="1:12">
      <c r="A78" s="153">
        <v>305</v>
      </c>
      <c r="B78" s="337">
        <v>100</v>
      </c>
      <c r="C78" s="337">
        <v>50</v>
      </c>
      <c r="D78" s="337">
        <v>100</v>
      </c>
      <c r="E78" s="337">
        <v>10</v>
      </c>
      <c r="F78" s="152">
        <v>5</v>
      </c>
      <c r="G78" s="344" t="s">
        <v>2387</v>
      </c>
      <c r="H78" s="344" t="s">
        <v>625</v>
      </c>
      <c r="I78" s="337"/>
      <c r="J78" s="337"/>
      <c r="K78" s="350">
        <v>0</v>
      </c>
      <c r="L78" s="350">
        <v>0</v>
      </c>
    </row>
    <row r="79" spans="1:12">
      <c r="A79" s="153">
        <v>305</v>
      </c>
      <c r="B79" s="337">
        <v>100</v>
      </c>
      <c r="C79" s="337">
        <v>50</v>
      </c>
      <c r="D79" s="337">
        <v>100</v>
      </c>
      <c r="E79" s="337">
        <v>10</v>
      </c>
      <c r="F79" s="152">
        <v>10</v>
      </c>
      <c r="G79" s="344" t="s">
        <v>2388</v>
      </c>
      <c r="H79" s="344" t="s">
        <v>626</v>
      </c>
      <c r="I79" s="337"/>
      <c r="J79" s="337"/>
      <c r="K79" s="350">
        <v>0</v>
      </c>
      <c r="L79" s="350">
        <v>0</v>
      </c>
    </row>
    <row r="80" spans="1:12">
      <c r="A80" s="153">
        <v>305</v>
      </c>
      <c r="B80" s="337">
        <v>100</v>
      </c>
      <c r="C80" s="337">
        <v>50</v>
      </c>
      <c r="D80" s="337">
        <v>100</v>
      </c>
      <c r="E80" s="337">
        <v>10</v>
      </c>
      <c r="F80" s="152">
        <v>15</v>
      </c>
      <c r="G80" s="344" t="s">
        <v>2389</v>
      </c>
      <c r="H80" s="344" t="s">
        <v>627</v>
      </c>
      <c r="I80" s="337"/>
      <c r="J80" s="337"/>
      <c r="K80" s="350">
        <v>0</v>
      </c>
      <c r="L80" s="350">
        <v>0</v>
      </c>
    </row>
    <row r="81" spans="1:12">
      <c r="A81" s="153">
        <v>305</v>
      </c>
      <c r="B81" s="337">
        <v>100</v>
      </c>
      <c r="C81" s="337">
        <v>50</v>
      </c>
      <c r="D81" s="337">
        <v>100</v>
      </c>
      <c r="E81" s="337">
        <v>10</v>
      </c>
      <c r="F81" s="152">
        <v>20</v>
      </c>
      <c r="G81" s="344" t="s">
        <v>2390</v>
      </c>
      <c r="H81" s="344" t="s">
        <v>628</v>
      </c>
      <c r="I81" s="337"/>
      <c r="J81" s="337"/>
      <c r="K81" s="357">
        <v>0</v>
      </c>
      <c r="L81" s="357">
        <v>0</v>
      </c>
    </row>
    <row r="82" spans="1:12">
      <c r="A82" s="153">
        <v>305</v>
      </c>
      <c r="B82" s="337">
        <v>100</v>
      </c>
      <c r="C82" s="337">
        <v>50</v>
      </c>
      <c r="D82" s="337">
        <v>100</v>
      </c>
      <c r="E82" s="337">
        <v>10</v>
      </c>
      <c r="F82" s="152">
        <v>25</v>
      </c>
      <c r="G82" s="344" t="s">
        <v>2391</v>
      </c>
      <c r="H82" s="344" t="s">
        <v>629</v>
      </c>
      <c r="I82" s="337"/>
      <c r="J82" s="337"/>
      <c r="K82" s="357">
        <v>0</v>
      </c>
      <c r="L82" s="357">
        <v>0</v>
      </c>
    </row>
    <row r="83" spans="1:12">
      <c r="A83" s="153">
        <v>305</v>
      </c>
      <c r="B83" s="337">
        <v>100</v>
      </c>
      <c r="C83" s="337">
        <v>50</v>
      </c>
      <c r="D83" s="337">
        <v>100</v>
      </c>
      <c r="E83" s="337">
        <v>10</v>
      </c>
      <c r="F83" s="152">
        <v>30</v>
      </c>
      <c r="G83" s="344" t="s">
        <v>2392</v>
      </c>
      <c r="H83" s="344" t="s">
        <v>630</v>
      </c>
      <c r="I83" s="337"/>
      <c r="J83" s="337"/>
      <c r="K83" s="357">
        <v>0</v>
      </c>
      <c r="L83" s="357">
        <v>0</v>
      </c>
    </row>
    <row r="84" spans="1:12">
      <c r="A84" s="153">
        <v>305</v>
      </c>
      <c r="B84" s="337">
        <v>100</v>
      </c>
      <c r="C84" s="337">
        <v>50</v>
      </c>
      <c r="D84" s="337">
        <v>100</v>
      </c>
      <c r="E84" s="337">
        <v>10</v>
      </c>
      <c r="F84" s="152">
        <v>35</v>
      </c>
      <c r="G84" s="344" t="s">
        <v>2393</v>
      </c>
      <c r="H84" s="344" t="s">
        <v>631</v>
      </c>
      <c r="I84" s="337"/>
      <c r="J84" s="337"/>
      <c r="K84" s="357">
        <v>0</v>
      </c>
      <c r="L84" s="357">
        <v>0</v>
      </c>
    </row>
    <row r="85" spans="1:12">
      <c r="A85" s="153">
        <v>305</v>
      </c>
      <c r="B85" s="337">
        <v>100</v>
      </c>
      <c r="C85" s="337">
        <v>50</v>
      </c>
      <c r="D85" s="337">
        <v>100</v>
      </c>
      <c r="E85" s="337">
        <v>10</v>
      </c>
      <c r="F85" s="152">
        <v>40</v>
      </c>
      <c r="G85" s="344" t="s">
        <v>2394</v>
      </c>
      <c r="H85" s="344" t="s">
        <v>632</v>
      </c>
      <c r="I85" s="337"/>
      <c r="J85" s="337"/>
      <c r="K85" s="357">
        <v>0</v>
      </c>
      <c r="L85" s="357">
        <v>0</v>
      </c>
    </row>
    <row r="86" spans="1:12">
      <c r="A86" s="153">
        <v>305</v>
      </c>
      <c r="B86" s="337">
        <v>100</v>
      </c>
      <c r="C86" s="337">
        <v>50</v>
      </c>
      <c r="D86" s="337">
        <v>100</v>
      </c>
      <c r="E86" s="337">
        <v>10</v>
      </c>
      <c r="F86" s="152">
        <v>45</v>
      </c>
      <c r="G86" s="344" t="s">
        <v>2395</v>
      </c>
      <c r="H86" s="344" t="s">
        <v>633</v>
      </c>
      <c r="I86" s="337"/>
      <c r="J86" s="337"/>
      <c r="K86" s="357">
        <v>0</v>
      </c>
      <c r="L86" s="357">
        <v>0</v>
      </c>
    </row>
    <row r="87" spans="1:12">
      <c r="A87" s="153">
        <v>305</v>
      </c>
      <c r="B87" s="337">
        <v>100</v>
      </c>
      <c r="C87" s="337">
        <v>50</v>
      </c>
      <c r="D87" s="337">
        <v>100</v>
      </c>
      <c r="E87" s="337">
        <v>10</v>
      </c>
      <c r="F87" s="152">
        <v>50</v>
      </c>
      <c r="G87" s="344" t="s">
        <v>2396</v>
      </c>
      <c r="H87" s="344" t="s">
        <v>634</v>
      </c>
      <c r="I87" s="337"/>
      <c r="J87" s="337"/>
      <c r="K87" s="357">
        <v>0</v>
      </c>
      <c r="L87" s="357">
        <v>0</v>
      </c>
    </row>
    <row r="88" spans="1:12">
      <c r="A88" s="153">
        <v>305</v>
      </c>
      <c r="B88" s="337">
        <v>100</v>
      </c>
      <c r="C88" s="337">
        <v>50</v>
      </c>
      <c r="D88" s="337">
        <v>100</v>
      </c>
      <c r="E88" s="337">
        <v>10</v>
      </c>
      <c r="F88" s="152">
        <v>55</v>
      </c>
      <c r="G88" s="344" t="s">
        <v>2397</v>
      </c>
      <c r="H88" s="344" t="s">
        <v>635</v>
      </c>
      <c r="I88" s="337"/>
      <c r="J88" s="337"/>
      <c r="K88" s="357">
        <v>0</v>
      </c>
      <c r="L88" s="357">
        <v>0</v>
      </c>
    </row>
    <row r="89" spans="1:12">
      <c r="A89" s="153">
        <v>305</v>
      </c>
      <c r="B89" s="337">
        <v>100</v>
      </c>
      <c r="C89" s="337">
        <v>50</v>
      </c>
      <c r="D89" s="337">
        <v>100</v>
      </c>
      <c r="E89" s="336">
        <v>20</v>
      </c>
      <c r="F89" s="336">
        <v>0</v>
      </c>
      <c r="G89" s="353" t="s">
        <v>2398</v>
      </c>
      <c r="H89" s="353" t="s">
        <v>636</v>
      </c>
      <c r="I89" s="337" t="s">
        <v>637</v>
      </c>
      <c r="J89" s="336"/>
      <c r="K89" s="351">
        <v>0</v>
      </c>
      <c r="L89" s="351">
        <v>0</v>
      </c>
    </row>
    <row r="90" spans="1:12">
      <c r="A90" s="153">
        <v>305</v>
      </c>
      <c r="B90" s="337">
        <v>100</v>
      </c>
      <c r="C90" s="337">
        <v>50</v>
      </c>
      <c r="D90" s="337">
        <v>100</v>
      </c>
      <c r="E90" s="336">
        <v>20</v>
      </c>
      <c r="F90" s="152">
        <v>5</v>
      </c>
      <c r="G90" s="344" t="s">
        <v>2399</v>
      </c>
      <c r="H90" s="344" t="s">
        <v>625</v>
      </c>
      <c r="I90" s="337"/>
      <c r="J90" s="337"/>
      <c r="K90" s="350">
        <v>0</v>
      </c>
      <c r="L90" s="350">
        <v>0</v>
      </c>
    </row>
    <row r="91" spans="1:12">
      <c r="A91" s="153">
        <v>305</v>
      </c>
      <c r="B91" s="337">
        <v>100</v>
      </c>
      <c r="C91" s="337">
        <v>50</v>
      </c>
      <c r="D91" s="337">
        <v>100</v>
      </c>
      <c r="E91" s="336">
        <v>20</v>
      </c>
      <c r="F91" s="152">
        <v>10</v>
      </c>
      <c r="G91" s="344" t="s">
        <v>2400</v>
      </c>
      <c r="H91" s="344" t="s">
        <v>626</v>
      </c>
      <c r="I91" s="337"/>
      <c r="J91" s="337"/>
      <c r="K91" s="350">
        <v>0</v>
      </c>
      <c r="L91" s="350">
        <v>0</v>
      </c>
    </row>
    <row r="92" spans="1:12">
      <c r="A92" s="153">
        <v>305</v>
      </c>
      <c r="B92" s="337">
        <v>100</v>
      </c>
      <c r="C92" s="337">
        <v>50</v>
      </c>
      <c r="D92" s="337">
        <v>100</v>
      </c>
      <c r="E92" s="336">
        <v>20</v>
      </c>
      <c r="F92" s="152">
        <v>15</v>
      </c>
      <c r="G92" s="344" t="s">
        <v>2401</v>
      </c>
      <c r="H92" s="344" t="s">
        <v>627</v>
      </c>
      <c r="I92" s="337"/>
      <c r="J92" s="337"/>
      <c r="K92" s="350">
        <v>0</v>
      </c>
      <c r="L92" s="350">
        <v>0</v>
      </c>
    </row>
    <row r="93" spans="1:12">
      <c r="A93" s="153">
        <v>305</v>
      </c>
      <c r="B93" s="337">
        <v>100</v>
      </c>
      <c r="C93" s="337">
        <v>50</v>
      </c>
      <c r="D93" s="337">
        <v>100</v>
      </c>
      <c r="E93" s="336">
        <v>20</v>
      </c>
      <c r="F93" s="152">
        <v>20</v>
      </c>
      <c r="G93" s="344" t="s">
        <v>2402</v>
      </c>
      <c r="H93" s="344" t="s">
        <v>628</v>
      </c>
      <c r="I93" s="337"/>
      <c r="J93" s="337"/>
      <c r="K93" s="357">
        <v>0</v>
      </c>
      <c r="L93" s="357">
        <v>0</v>
      </c>
    </row>
    <row r="94" spans="1:12">
      <c r="A94" s="153">
        <v>305</v>
      </c>
      <c r="B94" s="337">
        <v>100</v>
      </c>
      <c r="C94" s="337">
        <v>50</v>
      </c>
      <c r="D94" s="337">
        <v>100</v>
      </c>
      <c r="E94" s="336">
        <v>20</v>
      </c>
      <c r="F94" s="152">
        <v>25</v>
      </c>
      <c r="G94" s="344" t="s">
        <v>2403</v>
      </c>
      <c r="H94" s="344" t="s">
        <v>629</v>
      </c>
      <c r="I94" s="337"/>
      <c r="J94" s="337"/>
      <c r="K94" s="357">
        <v>0</v>
      </c>
      <c r="L94" s="357">
        <v>0</v>
      </c>
    </row>
    <row r="95" spans="1:12">
      <c r="A95" s="153">
        <v>305</v>
      </c>
      <c r="B95" s="337">
        <v>100</v>
      </c>
      <c r="C95" s="337">
        <v>50</v>
      </c>
      <c r="D95" s="337">
        <v>100</v>
      </c>
      <c r="E95" s="336">
        <v>20</v>
      </c>
      <c r="F95" s="152">
        <v>30</v>
      </c>
      <c r="G95" s="344" t="s">
        <v>2404</v>
      </c>
      <c r="H95" s="344" t="s">
        <v>630</v>
      </c>
      <c r="I95" s="337"/>
      <c r="J95" s="337"/>
      <c r="K95" s="350">
        <v>0</v>
      </c>
      <c r="L95" s="350">
        <v>0</v>
      </c>
    </row>
    <row r="96" spans="1:12">
      <c r="A96" s="153">
        <v>305</v>
      </c>
      <c r="B96" s="337">
        <v>100</v>
      </c>
      <c r="C96" s="337">
        <v>50</v>
      </c>
      <c r="D96" s="337">
        <v>100</v>
      </c>
      <c r="E96" s="336">
        <v>20</v>
      </c>
      <c r="F96" s="152">
        <v>35</v>
      </c>
      <c r="G96" s="344" t="s">
        <v>2405</v>
      </c>
      <c r="H96" s="344" t="s">
        <v>631</v>
      </c>
      <c r="I96" s="337"/>
      <c r="J96" s="337"/>
      <c r="K96" s="350">
        <v>0</v>
      </c>
      <c r="L96" s="350">
        <v>0</v>
      </c>
    </row>
    <row r="97" spans="1:12">
      <c r="A97" s="153">
        <v>305</v>
      </c>
      <c r="B97" s="337">
        <v>100</v>
      </c>
      <c r="C97" s="337">
        <v>50</v>
      </c>
      <c r="D97" s="337">
        <v>100</v>
      </c>
      <c r="E97" s="336">
        <v>20</v>
      </c>
      <c r="F97" s="152">
        <v>40</v>
      </c>
      <c r="G97" s="344" t="s">
        <v>2406</v>
      </c>
      <c r="H97" s="344" t="s">
        <v>632</v>
      </c>
      <c r="I97" s="337"/>
      <c r="J97" s="337"/>
      <c r="K97" s="350">
        <v>0</v>
      </c>
      <c r="L97" s="350">
        <v>0</v>
      </c>
    </row>
    <row r="98" spans="1:12">
      <c r="A98" s="153">
        <v>305</v>
      </c>
      <c r="B98" s="337">
        <v>100</v>
      </c>
      <c r="C98" s="337">
        <v>50</v>
      </c>
      <c r="D98" s="337">
        <v>100</v>
      </c>
      <c r="E98" s="336">
        <v>20</v>
      </c>
      <c r="F98" s="152">
        <v>45</v>
      </c>
      <c r="G98" s="344" t="s">
        <v>2407</v>
      </c>
      <c r="H98" s="344" t="s">
        <v>633</v>
      </c>
      <c r="I98" s="337"/>
      <c r="J98" s="337"/>
      <c r="K98" s="357">
        <v>0</v>
      </c>
      <c r="L98" s="357">
        <v>0</v>
      </c>
    </row>
    <row r="99" spans="1:12">
      <c r="A99" s="153">
        <v>305</v>
      </c>
      <c r="B99" s="337">
        <v>100</v>
      </c>
      <c r="C99" s="337">
        <v>50</v>
      </c>
      <c r="D99" s="337">
        <v>100</v>
      </c>
      <c r="E99" s="336">
        <v>20</v>
      </c>
      <c r="F99" s="152">
        <v>50</v>
      </c>
      <c r="G99" s="344" t="s">
        <v>2408</v>
      </c>
      <c r="H99" s="344" t="s">
        <v>634</v>
      </c>
      <c r="I99" s="337"/>
      <c r="J99" s="337"/>
      <c r="K99" s="357">
        <v>0</v>
      </c>
      <c r="L99" s="357">
        <v>0</v>
      </c>
    </row>
    <row r="100" spans="1:12">
      <c r="A100" s="153">
        <v>305</v>
      </c>
      <c r="B100" s="337">
        <v>100</v>
      </c>
      <c r="C100" s="337">
        <v>50</v>
      </c>
      <c r="D100" s="337">
        <v>100</v>
      </c>
      <c r="E100" s="336">
        <v>20</v>
      </c>
      <c r="F100" s="152">
        <v>55</v>
      </c>
      <c r="G100" s="344" t="s">
        <v>2409</v>
      </c>
      <c r="H100" s="344" t="s">
        <v>635</v>
      </c>
      <c r="I100" s="337"/>
      <c r="J100" s="337"/>
      <c r="K100" s="350">
        <v>0</v>
      </c>
      <c r="L100" s="350">
        <v>0</v>
      </c>
    </row>
    <row r="101" spans="1:12">
      <c r="A101" s="153">
        <v>305</v>
      </c>
      <c r="B101" s="337">
        <v>100</v>
      </c>
      <c r="C101" s="337">
        <v>50</v>
      </c>
      <c r="D101" s="337">
        <v>100</v>
      </c>
      <c r="E101" s="337">
        <v>30</v>
      </c>
      <c r="F101" s="337">
        <v>0</v>
      </c>
      <c r="G101" s="345" t="s">
        <v>2410</v>
      </c>
      <c r="H101" s="345" t="s">
        <v>638</v>
      </c>
      <c r="I101" s="337" t="s">
        <v>639</v>
      </c>
      <c r="J101" s="336"/>
      <c r="K101" s="351">
        <v>0</v>
      </c>
      <c r="L101" s="351">
        <v>0</v>
      </c>
    </row>
    <row r="102" spans="1:12" ht="25.5">
      <c r="A102" s="153">
        <v>305</v>
      </c>
      <c r="B102" s="337">
        <v>100</v>
      </c>
      <c r="C102" s="337">
        <v>50</v>
      </c>
      <c r="D102" s="337">
        <v>100</v>
      </c>
      <c r="E102" s="337">
        <v>30</v>
      </c>
      <c r="F102" s="152">
        <v>5</v>
      </c>
      <c r="G102" s="344" t="s">
        <v>2411</v>
      </c>
      <c r="H102" s="344" t="s">
        <v>640</v>
      </c>
      <c r="I102" s="337"/>
      <c r="J102" s="337"/>
      <c r="K102" s="357">
        <v>0</v>
      </c>
      <c r="L102" s="357">
        <v>0</v>
      </c>
    </row>
    <row r="103" spans="1:12" ht="25.5">
      <c r="A103" s="153">
        <v>305</v>
      </c>
      <c r="B103" s="337">
        <v>100</v>
      </c>
      <c r="C103" s="337">
        <v>50</v>
      </c>
      <c r="D103" s="337">
        <v>100</v>
      </c>
      <c r="E103" s="337">
        <v>30</v>
      </c>
      <c r="F103" s="152">
        <v>10</v>
      </c>
      <c r="G103" s="344" t="s">
        <v>2412</v>
      </c>
      <c r="H103" s="344" t="s">
        <v>641</v>
      </c>
      <c r="I103" s="337"/>
      <c r="J103" s="337"/>
      <c r="K103" s="357">
        <v>0</v>
      </c>
      <c r="L103" s="357">
        <v>0</v>
      </c>
    </row>
    <row r="104" spans="1:12">
      <c r="A104" s="153">
        <v>305</v>
      </c>
      <c r="B104" s="337">
        <v>100</v>
      </c>
      <c r="C104" s="337">
        <v>50</v>
      </c>
      <c r="D104" s="337">
        <v>100</v>
      </c>
      <c r="E104" s="337">
        <v>30</v>
      </c>
      <c r="F104" s="152">
        <v>15</v>
      </c>
      <c r="G104" s="344" t="s">
        <v>2413</v>
      </c>
      <c r="H104" s="344" t="s">
        <v>642</v>
      </c>
      <c r="I104" s="337"/>
      <c r="J104" s="337"/>
      <c r="K104" s="350">
        <v>0</v>
      </c>
      <c r="L104" s="350">
        <v>0</v>
      </c>
    </row>
    <row r="105" spans="1:12" ht="25.5">
      <c r="A105" s="153">
        <v>305</v>
      </c>
      <c r="B105" s="337">
        <v>100</v>
      </c>
      <c r="C105" s="337">
        <v>50</v>
      </c>
      <c r="D105" s="337">
        <v>100</v>
      </c>
      <c r="E105" s="337">
        <v>30</v>
      </c>
      <c r="F105" s="152">
        <v>20</v>
      </c>
      <c r="G105" s="344" t="s">
        <v>2414</v>
      </c>
      <c r="H105" s="344" t="s">
        <v>643</v>
      </c>
      <c r="I105" s="337"/>
      <c r="J105" s="337"/>
      <c r="K105" s="357">
        <v>0</v>
      </c>
      <c r="L105" s="357">
        <v>0</v>
      </c>
    </row>
    <row r="106" spans="1:12" ht="25.5">
      <c r="A106" s="153">
        <v>305</v>
      </c>
      <c r="B106" s="337">
        <v>100</v>
      </c>
      <c r="C106" s="337">
        <v>50</v>
      </c>
      <c r="D106" s="337">
        <v>100</v>
      </c>
      <c r="E106" s="337">
        <v>30</v>
      </c>
      <c r="F106" s="152">
        <v>25</v>
      </c>
      <c r="G106" s="344" t="s">
        <v>2415</v>
      </c>
      <c r="H106" s="344" t="s">
        <v>644</v>
      </c>
      <c r="I106" s="337"/>
      <c r="J106" s="337"/>
      <c r="K106" s="357">
        <v>0</v>
      </c>
      <c r="L106" s="357">
        <v>0</v>
      </c>
    </row>
    <row r="107" spans="1:12" ht="25.5">
      <c r="A107" s="153">
        <v>305</v>
      </c>
      <c r="B107" s="337">
        <v>100</v>
      </c>
      <c r="C107" s="337">
        <v>50</v>
      </c>
      <c r="D107" s="337">
        <v>100</v>
      </c>
      <c r="E107" s="337">
        <v>30</v>
      </c>
      <c r="F107" s="152">
        <v>30</v>
      </c>
      <c r="G107" s="344" t="s">
        <v>2416</v>
      </c>
      <c r="H107" s="344" t="s">
        <v>645</v>
      </c>
      <c r="I107" s="337"/>
      <c r="J107" s="337"/>
      <c r="K107" s="350">
        <v>0</v>
      </c>
      <c r="L107" s="350">
        <v>0</v>
      </c>
    </row>
    <row r="108" spans="1:12" ht="25.5">
      <c r="A108" s="153">
        <v>305</v>
      </c>
      <c r="B108" s="337">
        <v>100</v>
      </c>
      <c r="C108" s="337">
        <v>50</v>
      </c>
      <c r="D108" s="337">
        <v>100</v>
      </c>
      <c r="E108" s="337">
        <v>30</v>
      </c>
      <c r="F108" s="152">
        <v>35</v>
      </c>
      <c r="G108" s="344" t="s">
        <v>2417</v>
      </c>
      <c r="H108" s="344" t="s">
        <v>646</v>
      </c>
      <c r="I108" s="337"/>
      <c r="J108" s="337"/>
      <c r="K108" s="357">
        <v>0</v>
      </c>
      <c r="L108" s="357">
        <v>0</v>
      </c>
    </row>
    <row r="109" spans="1:12">
      <c r="A109" s="153">
        <v>305</v>
      </c>
      <c r="B109" s="337">
        <v>100</v>
      </c>
      <c r="C109" s="337">
        <v>50</v>
      </c>
      <c r="D109" s="337">
        <v>100</v>
      </c>
      <c r="E109" s="337">
        <v>30</v>
      </c>
      <c r="F109" s="152">
        <v>40</v>
      </c>
      <c r="G109" s="344" t="s">
        <v>2418</v>
      </c>
      <c r="H109" s="344" t="s">
        <v>647</v>
      </c>
      <c r="I109" s="337"/>
      <c r="J109" s="337"/>
      <c r="K109" s="357">
        <v>0</v>
      </c>
      <c r="L109" s="357">
        <v>0</v>
      </c>
    </row>
    <row r="110" spans="1:12" ht="25.5">
      <c r="A110" s="153">
        <v>305</v>
      </c>
      <c r="B110" s="337">
        <v>100</v>
      </c>
      <c r="C110" s="337">
        <v>50</v>
      </c>
      <c r="D110" s="337">
        <v>100</v>
      </c>
      <c r="E110" s="337">
        <v>30</v>
      </c>
      <c r="F110" s="152">
        <v>45</v>
      </c>
      <c r="G110" s="344" t="s">
        <v>2419</v>
      </c>
      <c r="H110" s="344" t="s">
        <v>648</v>
      </c>
      <c r="I110" s="337"/>
      <c r="J110" s="337"/>
      <c r="K110" s="350">
        <v>0</v>
      </c>
      <c r="L110" s="350">
        <v>0</v>
      </c>
    </row>
    <row r="111" spans="1:12" ht="25.5">
      <c r="A111" s="153">
        <v>305</v>
      </c>
      <c r="B111" s="337">
        <v>100</v>
      </c>
      <c r="C111" s="337">
        <v>50</v>
      </c>
      <c r="D111" s="337">
        <v>100</v>
      </c>
      <c r="E111" s="337">
        <v>30</v>
      </c>
      <c r="F111" s="152">
        <v>50</v>
      </c>
      <c r="G111" s="344" t="s">
        <v>2420</v>
      </c>
      <c r="H111" s="344" t="s">
        <v>649</v>
      </c>
      <c r="I111" s="337"/>
      <c r="J111" s="337"/>
      <c r="K111" s="357">
        <v>0</v>
      </c>
      <c r="L111" s="357">
        <v>0</v>
      </c>
    </row>
    <row r="112" spans="1:12" ht="25.5">
      <c r="A112" s="153">
        <v>305</v>
      </c>
      <c r="B112" s="337">
        <v>100</v>
      </c>
      <c r="C112" s="337">
        <v>50</v>
      </c>
      <c r="D112" s="337">
        <v>100</v>
      </c>
      <c r="E112" s="337">
        <v>30</v>
      </c>
      <c r="F112" s="152">
        <v>55</v>
      </c>
      <c r="G112" s="344" t="s">
        <v>2421</v>
      </c>
      <c r="H112" s="344" t="s">
        <v>650</v>
      </c>
      <c r="I112" s="337"/>
      <c r="J112" s="337"/>
      <c r="K112" s="357">
        <v>0</v>
      </c>
      <c r="L112" s="357">
        <v>0</v>
      </c>
    </row>
    <row r="113" spans="1:12" ht="25.5">
      <c r="A113" s="153">
        <v>305</v>
      </c>
      <c r="B113" s="337">
        <v>100</v>
      </c>
      <c r="C113" s="337">
        <v>50</v>
      </c>
      <c r="D113" s="337">
        <v>100</v>
      </c>
      <c r="E113" s="337">
        <v>30</v>
      </c>
      <c r="F113" s="152">
        <v>60</v>
      </c>
      <c r="G113" s="344" t="s">
        <v>2422</v>
      </c>
      <c r="H113" s="344" t="s">
        <v>651</v>
      </c>
      <c r="I113" s="337"/>
      <c r="J113" s="337"/>
      <c r="K113" s="357">
        <v>0</v>
      </c>
      <c r="L113" s="357">
        <v>0</v>
      </c>
    </row>
    <row r="114" spans="1:12" ht="25.5">
      <c r="A114" s="153">
        <v>305</v>
      </c>
      <c r="B114" s="337">
        <v>100</v>
      </c>
      <c r="C114" s="337">
        <v>50</v>
      </c>
      <c r="D114" s="337">
        <v>100</v>
      </c>
      <c r="E114" s="337">
        <v>30</v>
      </c>
      <c r="F114" s="152">
        <v>65</v>
      </c>
      <c r="G114" s="344" t="s">
        <v>2423</v>
      </c>
      <c r="H114" s="344" t="s">
        <v>652</v>
      </c>
      <c r="I114" s="337"/>
      <c r="J114" s="337"/>
      <c r="K114" s="357">
        <v>0</v>
      </c>
      <c r="L114" s="357">
        <v>0</v>
      </c>
    </row>
    <row r="115" spans="1:12">
      <c r="A115" s="153">
        <v>305</v>
      </c>
      <c r="B115" s="337">
        <v>100</v>
      </c>
      <c r="C115" s="337">
        <v>50</v>
      </c>
      <c r="D115" s="337">
        <v>100</v>
      </c>
      <c r="E115" s="337">
        <v>30</v>
      </c>
      <c r="F115" s="152">
        <v>70</v>
      </c>
      <c r="G115" s="344" t="s">
        <v>2424</v>
      </c>
      <c r="H115" s="344" t="s">
        <v>653</v>
      </c>
      <c r="I115" s="337"/>
      <c r="J115" s="337"/>
      <c r="K115" s="350">
        <v>0</v>
      </c>
      <c r="L115" s="350">
        <v>0</v>
      </c>
    </row>
    <row r="116" spans="1:12">
      <c r="A116" s="153">
        <v>305</v>
      </c>
      <c r="B116" s="337">
        <v>100</v>
      </c>
      <c r="C116" s="337">
        <v>50</v>
      </c>
      <c r="D116" s="337">
        <v>100</v>
      </c>
      <c r="E116" s="337">
        <v>40</v>
      </c>
      <c r="F116" s="337">
        <v>0</v>
      </c>
      <c r="G116" s="345" t="s">
        <v>2425</v>
      </c>
      <c r="H116" s="345" t="s">
        <v>654</v>
      </c>
      <c r="I116" s="337" t="s">
        <v>655</v>
      </c>
      <c r="J116" s="336"/>
      <c r="K116" s="351">
        <v>0</v>
      </c>
      <c r="L116" s="351">
        <v>0</v>
      </c>
    </row>
    <row r="117" spans="1:12">
      <c r="A117" s="153">
        <v>305</v>
      </c>
      <c r="B117" s="337">
        <v>100</v>
      </c>
      <c r="C117" s="337">
        <v>50</v>
      </c>
      <c r="D117" s="337">
        <v>100</v>
      </c>
      <c r="E117" s="337">
        <v>40</v>
      </c>
      <c r="F117" s="152">
        <v>5</v>
      </c>
      <c r="G117" s="344" t="s">
        <v>2426</v>
      </c>
      <c r="H117" s="344" t="s">
        <v>656</v>
      </c>
      <c r="I117" s="337"/>
      <c r="J117" s="337"/>
      <c r="K117" s="357">
        <v>0</v>
      </c>
      <c r="L117" s="357">
        <v>0</v>
      </c>
    </row>
    <row r="118" spans="1:12">
      <c r="A118" s="153">
        <v>305</v>
      </c>
      <c r="B118" s="337">
        <v>100</v>
      </c>
      <c r="C118" s="337">
        <v>50</v>
      </c>
      <c r="D118" s="337">
        <v>100</v>
      </c>
      <c r="E118" s="337">
        <v>40</v>
      </c>
      <c r="F118" s="152">
        <v>10</v>
      </c>
      <c r="G118" s="344" t="s">
        <v>2427</v>
      </c>
      <c r="H118" s="344" t="s">
        <v>626</v>
      </c>
      <c r="I118" s="337"/>
      <c r="J118" s="337"/>
      <c r="K118" s="350">
        <v>0</v>
      </c>
      <c r="L118" s="350">
        <v>0</v>
      </c>
    </row>
    <row r="119" spans="1:12">
      <c r="A119" s="153">
        <v>305</v>
      </c>
      <c r="B119" s="337">
        <v>100</v>
      </c>
      <c r="C119" s="337">
        <v>50</v>
      </c>
      <c r="D119" s="337">
        <v>100</v>
      </c>
      <c r="E119" s="337">
        <v>40</v>
      </c>
      <c r="F119" s="152">
        <v>15</v>
      </c>
      <c r="G119" s="344" t="s">
        <v>2428</v>
      </c>
      <c r="H119" s="344" t="s">
        <v>629</v>
      </c>
      <c r="I119" s="337"/>
      <c r="J119" s="337"/>
      <c r="K119" s="357">
        <v>0</v>
      </c>
      <c r="L119" s="357">
        <v>0</v>
      </c>
    </row>
    <row r="120" spans="1:12">
      <c r="A120" s="153">
        <v>305</v>
      </c>
      <c r="B120" s="337">
        <v>100</v>
      </c>
      <c r="C120" s="337">
        <v>50</v>
      </c>
      <c r="D120" s="337">
        <v>100</v>
      </c>
      <c r="E120" s="337">
        <v>40</v>
      </c>
      <c r="F120" s="152">
        <v>20</v>
      </c>
      <c r="G120" s="344" t="s">
        <v>2429</v>
      </c>
      <c r="H120" s="344" t="s">
        <v>630</v>
      </c>
      <c r="I120" s="337"/>
      <c r="J120" s="337"/>
      <c r="K120" s="357">
        <v>0</v>
      </c>
      <c r="L120" s="357">
        <v>0</v>
      </c>
    </row>
    <row r="121" spans="1:12">
      <c r="A121" s="153">
        <v>305</v>
      </c>
      <c r="B121" s="337">
        <v>100</v>
      </c>
      <c r="C121" s="337">
        <v>50</v>
      </c>
      <c r="D121" s="337">
        <v>100</v>
      </c>
      <c r="E121" s="337">
        <v>40</v>
      </c>
      <c r="F121" s="152">
        <v>25</v>
      </c>
      <c r="G121" s="344" t="s">
        <v>2430</v>
      </c>
      <c r="H121" s="344" t="s">
        <v>631</v>
      </c>
      <c r="I121" s="337"/>
      <c r="J121" s="337"/>
      <c r="K121" s="350">
        <v>0</v>
      </c>
      <c r="L121" s="350">
        <v>0</v>
      </c>
    </row>
    <row r="122" spans="1:12">
      <c r="A122" s="153">
        <v>305</v>
      </c>
      <c r="B122" s="337">
        <v>100</v>
      </c>
      <c r="C122" s="337">
        <v>50</v>
      </c>
      <c r="D122" s="337">
        <v>100</v>
      </c>
      <c r="E122" s="337">
        <v>40</v>
      </c>
      <c r="F122" s="152">
        <v>30</v>
      </c>
      <c r="G122" s="344" t="s">
        <v>2431</v>
      </c>
      <c r="H122" s="344" t="s">
        <v>634</v>
      </c>
      <c r="I122" s="337"/>
      <c r="J122" s="337"/>
      <c r="K122" s="357">
        <v>0</v>
      </c>
      <c r="L122" s="357">
        <v>0</v>
      </c>
    </row>
    <row r="123" spans="1:12">
      <c r="A123" s="153">
        <v>305</v>
      </c>
      <c r="B123" s="337">
        <v>100</v>
      </c>
      <c r="C123" s="337">
        <v>50</v>
      </c>
      <c r="D123" s="337">
        <v>100</v>
      </c>
      <c r="E123" s="337">
        <v>40</v>
      </c>
      <c r="F123" s="152">
        <v>35</v>
      </c>
      <c r="G123" s="344" t="s">
        <v>2432</v>
      </c>
      <c r="H123" s="344" t="s">
        <v>635</v>
      </c>
      <c r="I123" s="337"/>
      <c r="J123" s="337"/>
      <c r="K123" s="350">
        <v>0</v>
      </c>
      <c r="L123" s="350">
        <v>0</v>
      </c>
    </row>
    <row r="124" spans="1:12">
      <c r="A124" s="153">
        <v>305</v>
      </c>
      <c r="B124" s="337">
        <v>100</v>
      </c>
      <c r="C124" s="337">
        <v>50</v>
      </c>
      <c r="D124" s="337">
        <v>100</v>
      </c>
      <c r="E124" s="337">
        <v>40</v>
      </c>
      <c r="F124" s="152">
        <v>40</v>
      </c>
      <c r="G124" s="344" t="s">
        <v>2433</v>
      </c>
      <c r="H124" s="344" t="s">
        <v>657</v>
      </c>
      <c r="I124" s="337"/>
      <c r="J124" s="337"/>
      <c r="K124" s="357">
        <v>0</v>
      </c>
      <c r="L124" s="357">
        <v>0</v>
      </c>
    </row>
    <row r="125" spans="1:12" ht="25.5">
      <c r="A125" s="153">
        <v>305</v>
      </c>
      <c r="B125" s="337">
        <v>100</v>
      </c>
      <c r="C125" s="337">
        <v>50</v>
      </c>
      <c r="D125" s="337">
        <v>200</v>
      </c>
      <c r="E125" s="152">
        <v>0</v>
      </c>
      <c r="F125" s="152">
        <v>0</v>
      </c>
      <c r="G125" s="344" t="s">
        <v>2434</v>
      </c>
      <c r="H125" s="344" t="s">
        <v>658</v>
      </c>
      <c r="I125" s="346" t="s">
        <v>659</v>
      </c>
      <c r="J125" s="346" t="s">
        <v>1522</v>
      </c>
      <c r="K125" s="350">
        <v>0</v>
      </c>
      <c r="L125" s="350">
        <v>0</v>
      </c>
    </row>
    <row r="126" spans="1:12" ht="25.5">
      <c r="A126" s="153">
        <v>305</v>
      </c>
      <c r="B126" s="337">
        <v>100</v>
      </c>
      <c r="C126" s="337">
        <v>50</v>
      </c>
      <c r="D126" s="152">
        <v>300</v>
      </c>
      <c r="E126" s="337">
        <v>0</v>
      </c>
      <c r="F126" s="337">
        <v>0</v>
      </c>
      <c r="G126" s="344" t="s">
        <v>2435</v>
      </c>
      <c r="H126" s="344" t="s">
        <v>660</v>
      </c>
      <c r="I126" s="337" t="s">
        <v>661</v>
      </c>
      <c r="J126" s="337" t="s">
        <v>1567</v>
      </c>
      <c r="K126" s="357">
        <v>0</v>
      </c>
      <c r="L126" s="357">
        <v>0</v>
      </c>
    </row>
    <row r="127" spans="1:12">
      <c r="A127" s="153">
        <v>305</v>
      </c>
      <c r="B127" s="337">
        <v>100</v>
      </c>
      <c r="C127" s="337">
        <v>100</v>
      </c>
      <c r="D127" s="337">
        <v>0</v>
      </c>
      <c r="E127" s="337">
        <v>0</v>
      </c>
      <c r="F127" s="337">
        <v>0</v>
      </c>
      <c r="G127" s="345" t="s">
        <v>2436</v>
      </c>
      <c r="H127" s="345" t="s">
        <v>662</v>
      </c>
      <c r="I127" s="337" t="s">
        <v>663</v>
      </c>
      <c r="J127" s="336"/>
      <c r="K127" s="351">
        <v>0</v>
      </c>
      <c r="L127" s="351">
        <v>0</v>
      </c>
    </row>
    <row r="128" spans="1:12">
      <c r="A128" s="153">
        <v>305</v>
      </c>
      <c r="B128" s="337">
        <v>100</v>
      </c>
      <c r="C128" s="337">
        <v>100</v>
      </c>
      <c r="D128" s="337">
        <v>100</v>
      </c>
      <c r="E128" s="337">
        <v>0</v>
      </c>
      <c r="F128" s="337">
        <v>0</v>
      </c>
      <c r="G128" s="356" t="s">
        <v>2437</v>
      </c>
      <c r="H128" s="356" t="s">
        <v>621</v>
      </c>
      <c r="I128" s="337" t="s">
        <v>664</v>
      </c>
      <c r="J128" s="336"/>
      <c r="K128" s="351">
        <v>0</v>
      </c>
      <c r="L128" s="351">
        <v>0</v>
      </c>
    </row>
    <row r="129" spans="1:12">
      <c r="A129" s="153">
        <v>305</v>
      </c>
      <c r="B129" s="337">
        <v>100</v>
      </c>
      <c r="C129" s="337">
        <v>100</v>
      </c>
      <c r="D129" s="337">
        <v>100</v>
      </c>
      <c r="E129" s="152">
        <v>10</v>
      </c>
      <c r="F129" s="337">
        <v>0</v>
      </c>
      <c r="G129" s="344" t="s">
        <v>2438</v>
      </c>
      <c r="H129" s="344" t="s">
        <v>665</v>
      </c>
      <c r="I129" s="337"/>
      <c r="J129" s="337"/>
      <c r="K129" s="350">
        <v>0</v>
      </c>
      <c r="L129" s="350">
        <v>0</v>
      </c>
    </row>
    <row r="130" spans="1:12">
      <c r="A130" s="153">
        <v>305</v>
      </c>
      <c r="B130" s="337">
        <v>100</v>
      </c>
      <c r="C130" s="337">
        <v>100</v>
      </c>
      <c r="D130" s="337">
        <v>100</v>
      </c>
      <c r="E130" s="152">
        <v>20</v>
      </c>
      <c r="F130" s="337">
        <v>0</v>
      </c>
      <c r="G130" s="344" t="s">
        <v>2439</v>
      </c>
      <c r="H130" s="344" t="s">
        <v>666</v>
      </c>
      <c r="I130" s="337"/>
      <c r="J130" s="337"/>
      <c r="K130" s="350">
        <v>0</v>
      </c>
      <c r="L130" s="350">
        <v>0</v>
      </c>
    </row>
    <row r="131" spans="1:12" ht="25.5">
      <c r="A131" s="153">
        <v>305</v>
      </c>
      <c r="B131" s="337">
        <v>100</v>
      </c>
      <c r="C131" s="337">
        <v>100</v>
      </c>
      <c r="D131" s="337">
        <v>200</v>
      </c>
      <c r="E131" s="152">
        <v>0</v>
      </c>
      <c r="F131" s="152">
        <v>0</v>
      </c>
      <c r="G131" s="344" t="s">
        <v>2440</v>
      </c>
      <c r="H131" s="344" t="s">
        <v>667</v>
      </c>
      <c r="I131" s="346" t="s">
        <v>668</v>
      </c>
      <c r="J131" s="346" t="s">
        <v>1522</v>
      </c>
      <c r="K131" s="350">
        <v>0</v>
      </c>
      <c r="L131" s="350">
        <v>0</v>
      </c>
    </row>
    <row r="132" spans="1:12">
      <c r="A132" s="153">
        <v>305</v>
      </c>
      <c r="B132" s="337">
        <v>100</v>
      </c>
      <c r="C132" s="337">
        <v>100</v>
      </c>
      <c r="D132" s="152">
        <v>300</v>
      </c>
      <c r="E132" s="337">
        <v>0</v>
      </c>
      <c r="F132" s="337">
        <v>0</v>
      </c>
      <c r="G132" s="344" t="s">
        <v>2441</v>
      </c>
      <c r="H132" s="344" t="s">
        <v>669</v>
      </c>
      <c r="I132" s="337" t="s">
        <v>670</v>
      </c>
      <c r="J132" s="337" t="s">
        <v>1567</v>
      </c>
      <c r="K132" s="350">
        <v>0</v>
      </c>
      <c r="L132" s="350">
        <v>0</v>
      </c>
    </row>
    <row r="133" spans="1:12" ht="25.5">
      <c r="A133" s="153">
        <v>305</v>
      </c>
      <c r="B133" s="337">
        <v>100</v>
      </c>
      <c r="C133" s="337">
        <v>150</v>
      </c>
      <c r="D133" s="337">
        <v>0</v>
      </c>
      <c r="E133" s="337">
        <v>0</v>
      </c>
      <c r="F133" s="337">
        <v>0</v>
      </c>
      <c r="G133" s="345" t="s">
        <v>2442</v>
      </c>
      <c r="H133" s="345" t="s">
        <v>671</v>
      </c>
      <c r="I133" s="337" t="s">
        <v>672</v>
      </c>
      <c r="J133" s="336"/>
      <c r="K133" s="351">
        <v>0</v>
      </c>
      <c r="L133" s="351">
        <v>0</v>
      </c>
    </row>
    <row r="134" spans="1:12">
      <c r="A134" s="153">
        <v>305</v>
      </c>
      <c r="B134" s="337">
        <v>100</v>
      </c>
      <c r="C134" s="337">
        <v>150</v>
      </c>
      <c r="D134" s="337">
        <v>100</v>
      </c>
      <c r="E134" s="337">
        <v>0</v>
      </c>
      <c r="F134" s="337">
        <v>0</v>
      </c>
      <c r="G134" s="356" t="s">
        <v>2443</v>
      </c>
      <c r="H134" s="356" t="s">
        <v>673</v>
      </c>
      <c r="I134" s="337" t="s">
        <v>674</v>
      </c>
      <c r="J134" s="336" t="s">
        <v>1522</v>
      </c>
      <c r="K134" s="351">
        <v>0</v>
      </c>
      <c r="L134" s="351">
        <v>0</v>
      </c>
    </row>
    <row r="135" spans="1:12" ht="25.5">
      <c r="A135" s="153">
        <v>305</v>
      </c>
      <c r="B135" s="337">
        <v>100</v>
      </c>
      <c r="C135" s="337">
        <v>150</v>
      </c>
      <c r="D135" s="337">
        <v>100</v>
      </c>
      <c r="E135" s="152">
        <v>10</v>
      </c>
      <c r="F135" s="337">
        <v>0</v>
      </c>
      <c r="G135" s="344" t="s">
        <v>2444</v>
      </c>
      <c r="H135" s="344" t="s">
        <v>675</v>
      </c>
      <c r="I135" s="337"/>
      <c r="J135" s="337" t="s">
        <v>1522</v>
      </c>
      <c r="K135" s="350">
        <v>0</v>
      </c>
      <c r="L135" s="350">
        <v>0</v>
      </c>
    </row>
    <row r="136" spans="1:12" ht="25.5">
      <c r="A136" s="153">
        <v>305</v>
      </c>
      <c r="B136" s="337">
        <v>100</v>
      </c>
      <c r="C136" s="337">
        <v>150</v>
      </c>
      <c r="D136" s="337">
        <v>100</v>
      </c>
      <c r="E136" s="152">
        <v>20</v>
      </c>
      <c r="F136" s="337">
        <v>0</v>
      </c>
      <c r="G136" s="344" t="s">
        <v>2445</v>
      </c>
      <c r="H136" s="344" t="s">
        <v>676</v>
      </c>
      <c r="I136" s="337"/>
      <c r="J136" s="337" t="s">
        <v>1522</v>
      </c>
      <c r="K136" s="350">
        <v>377142.89</v>
      </c>
      <c r="L136" s="350">
        <v>413245.85</v>
      </c>
    </row>
    <row r="137" spans="1:12" ht="38.25">
      <c r="A137" s="153">
        <v>305</v>
      </c>
      <c r="B137" s="337">
        <v>100</v>
      </c>
      <c r="C137" s="337">
        <v>150</v>
      </c>
      <c r="D137" s="337">
        <v>150</v>
      </c>
      <c r="E137" s="152">
        <v>0</v>
      </c>
      <c r="F137" s="337">
        <v>0</v>
      </c>
      <c r="G137" s="344" t="s">
        <v>2446</v>
      </c>
      <c r="H137" s="344" t="s">
        <v>677</v>
      </c>
      <c r="I137" s="337" t="s">
        <v>678</v>
      </c>
      <c r="J137" s="337" t="s">
        <v>1522</v>
      </c>
      <c r="K137" s="350">
        <v>0</v>
      </c>
      <c r="L137" s="350">
        <v>0</v>
      </c>
    </row>
    <row r="138" spans="1:12">
      <c r="A138" s="153">
        <v>305</v>
      </c>
      <c r="B138" s="337">
        <v>100</v>
      </c>
      <c r="C138" s="337">
        <v>150</v>
      </c>
      <c r="D138" s="152">
        <v>200</v>
      </c>
      <c r="E138" s="337">
        <v>0</v>
      </c>
      <c r="F138" s="337">
        <v>0</v>
      </c>
      <c r="G138" s="344" t="s">
        <v>2447</v>
      </c>
      <c r="H138" s="344" t="s">
        <v>679</v>
      </c>
      <c r="I138" s="337" t="s">
        <v>680</v>
      </c>
      <c r="J138" s="337"/>
      <c r="K138" s="350">
        <v>0</v>
      </c>
      <c r="L138" s="350">
        <v>0</v>
      </c>
    </row>
    <row r="139" spans="1:12" ht="38.25">
      <c r="A139" s="153">
        <v>305</v>
      </c>
      <c r="B139" s="337">
        <v>100</v>
      </c>
      <c r="C139" s="337">
        <v>150</v>
      </c>
      <c r="D139" s="152">
        <v>250</v>
      </c>
      <c r="E139" s="337">
        <v>0</v>
      </c>
      <c r="F139" s="337">
        <v>0</v>
      </c>
      <c r="G139" s="344" t="s">
        <v>2448</v>
      </c>
      <c r="H139" s="344" t="s">
        <v>681</v>
      </c>
      <c r="I139" s="337" t="s">
        <v>682</v>
      </c>
      <c r="J139" s="336"/>
      <c r="K139" s="352">
        <v>0</v>
      </c>
      <c r="L139" s="352">
        <v>0</v>
      </c>
    </row>
    <row r="140" spans="1:12">
      <c r="A140" s="153">
        <v>305</v>
      </c>
      <c r="B140" s="337">
        <v>100</v>
      </c>
      <c r="C140" s="337">
        <v>150</v>
      </c>
      <c r="D140" s="337">
        <v>300</v>
      </c>
      <c r="E140" s="337">
        <v>0</v>
      </c>
      <c r="F140" s="337">
        <v>0</v>
      </c>
      <c r="G140" s="356" t="s">
        <v>2449</v>
      </c>
      <c r="H140" s="356" t="s">
        <v>669</v>
      </c>
      <c r="I140" s="337" t="s">
        <v>683</v>
      </c>
      <c r="J140" s="336" t="s">
        <v>1567</v>
      </c>
      <c r="K140" s="351">
        <v>0</v>
      </c>
      <c r="L140" s="351">
        <v>0</v>
      </c>
    </row>
    <row r="141" spans="1:12" ht="25.5">
      <c r="A141" s="153">
        <v>305</v>
      </c>
      <c r="B141" s="337">
        <v>100</v>
      </c>
      <c r="C141" s="337">
        <v>150</v>
      </c>
      <c r="D141" s="337">
        <v>300</v>
      </c>
      <c r="E141" s="152">
        <v>10</v>
      </c>
      <c r="F141" s="337">
        <v>0</v>
      </c>
      <c r="G141" s="344" t="s">
        <v>2450</v>
      </c>
      <c r="H141" s="344" t="s">
        <v>684</v>
      </c>
      <c r="I141" s="337"/>
      <c r="J141" s="337" t="s">
        <v>1567</v>
      </c>
      <c r="K141" s="350">
        <v>0</v>
      </c>
      <c r="L141" s="350">
        <v>0</v>
      </c>
    </row>
    <row r="142" spans="1:12" ht="25.5">
      <c r="A142" s="153">
        <v>305</v>
      </c>
      <c r="B142" s="337">
        <v>100</v>
      </c>
      <c r="C142" s="337">
        <v>150</v>
      </c>
      <c r="D142" s="337">
        <v>350</v>
      </c>
      <c r="E142" s="152">
        <v>0</v>
      </c>
      <c r="F142" s="337">
        <v>0</v>
      </c>
      <c r="G142" s="344" t="s">
        <v>2452</v>
      </c>
      <c r="H142" s="344" t="s">
        <v>686</v>
      </c>
      <c r="I142" s="337" t="s">
        <v>687</v>
      </c>
      <c r="J142" s="336" t="s">
        <v>1567</v>
      </c>
      <c r="K142" s="352">
        <v>0</v>
      </c>
      <c r="L142" s="352">
        <v>0</v>
      </c>
    </row>
    <row r="143" spans="1:12">
      <c r="A143" s="153">
        <v>305</v>
      </c>
      <c r="B143" s="337">
        <v>100</v>
      </c>
      <c r="C143" s="337">
        <v>150</v>
      </c>
      <c r="D143" s="337">
        <v>400</v>
      </c>
      <c r="E143" s="337">
        <v>0</v>
      </c>
      <c r="F143" s="337">
        <v>0</v>
      </c>
      <c r="G143" s="356" t="s">
        <v>2453</v>
      </c>
      <c r="H143" s="356" t="s">
        <v>688</v>
      </c>
      <c r="I143" s="337" t="s">
        <v>689</v>
      </c>
      <c r="J143" s="336"/>
      <c r="K143" s="351">
        <v>0</v>
      </c>
      <c r="L143" s="351">
        <v>0</v>
      </c>
    </row>
    <row r="144" spans="1:12">
      <c r="A144" s="153">
        <v>305</v>
      </c>
      <c r="B144" s="337">
        <v>100</v>
      </c>
      <c r="C144" s="337">
        <v>150</v>
      </c>
      <c r="D144" s="337">
        <v>400</v>
      </c>
      <c r="E144" s="152">
        <v>10</v>
      </c>
      <c r="F144" s="337">
        <v>0</v>
      </c>
      <c r="G144" s="344" t="s">
        <v>2454</v>
      </c>
      <c r="H144" s="344" t="s">
        <v>690</v>
      </c>
      <c r="I144" s="337"/>
      <c r="J144" s="337"/>
      <c r="K144" s="350">
        <v>0</v>
      </c>
      <c r="L144" s="350">
        <v>0</v>
      </c>
    </row>
    <row r="145" spans="1:12">
      <c r="A145" s="153">
        <v>305</v>
      </c>
      <c r="B145" s="337">
        <v>100</v>
      </c>
      <c r="C145" s="337">
        <v>150</v>
      </c>
      <c r="D145" s="337">
        <v>400</v>
      </c>
      <c r="E145" s="152">
        <v>20</v>
      </c>
      <c r="F145" s="337">
        <v>0</v>
      </c>
      <c r="G145" s="344" t="s">
        <v>2455</v>
      </c>
      <c r="H145" s="344" t="s">
        <v>691</v>
      </c>
      <c r="I145" s="337"/>
      <c r="J145" s="337"/>
      <c r="K145" s="350">
        <v>0</v>
      </c>
      <c r="L145" s="350">
        <v>0</v>
      </c>
    </row>
    <row r="146" spans="1:12">
      <c r="A146" s="153">
        <v>305</v>
      </c>
      <c r="B146" s="337">
        <v>100</v>
      </c>
      <c r="C146" s="337">
        <v>150</v>
      </c>
      <c r="D146" s="337">
        <v>400</v>
      </c>
      <c r="E146" s="152">
        <v>30</v>
      </c>
      <c r="F146" s="337">
        <v>0</v>
      </c>
      <c r="G146" s="344" t="s">
        <v>2456</v>
      </c>
      <c r="H146" s="344" t="s">
        <v>629</v>
      </c>
      <c r="I146" s="337"/>
      <c r="J146" s="337"/>
      <c r="K146" s="350">
        <v>0</v>
      </c>
      <c r="L146" s="350">
        <v>0</v>
      </c>
    </row>
    <row r="147" spans="1:12">
      <c r="A147" s="153">
        <v>305</v>
      </c>
      <c r="B147" s="337">
        <v>100</v>
      </c>
      <c r="C147" s="337">
        <v>150</v>
      </c>
      <c r="D147" s="337">
        <v>400</v>
      </c>
      <c r="E147" s="152">
        <v>40</v>
      </c>
      <c r="F147" s="337">
        <v>0</v>
      </c>
      <c r="G147" s="344" t="s">
        <v>2457</v>
      </c>
      <c r="H147" s="344" t="s">
        <v>630</v>
      </c>
      <c r="I147" s="337"/>
      <c r="J147" s="337"/>
      <c r="K147" s="350">
        <v>0</v>
      </c>
      <c r="L147" s="350">
        <v>0</v>
      </c>
    </row>
    <row r="148" spans="1:12">
      <c r="A148" s="153">
        <v>305</v>
      </c>
      <c r="B148" s="337">
        <v>100</v>
      </c>
      <c r="C148" s="337">
        <v>150</v>
      </c>
      <c r="D148" s="337">
        <v>400</v>
      </c>
      <c r="E148" s="152">
        <v>50</v>
      </c>
      <c r="F148" s="337">
        <v>0</v>
      </c>
      <c r="G148" s="344" t="s">
        <v>2458</v>
      </c>
      <c r="H148" s="344" t="s">
        <v>631</v>
      </c>
      <c r="I148" s="337"/>
      <c r="J148" s="337"/>
      <c r="K148" s="350">
        <v>0</v>
      </c>
      <c r="L148" s="350">
        <v>0</v>
      </c>
    </row>
    <row r="149" spans="1:12">
      <c r="A149" s="153">
        <v>305</v>
      </c>
      <c r="B149" s="337">
        <v>100</v>
      </c>
      <c r="C149" s="337">
        <v>150</v>
      </c>
      <c r="D149" s="337">
        <v>400</v>
      </c>
      <c r="E149" s="152">
        <v>60</v>
      </c>
      <c r="F149" s="337">
        <v>0</v>
      </c>
      <c r="G149" s="344" t="s">
        <v>2459</v>
      </c>
      <c r="H149" s="344" t="s">
        <v>634</v>
      </c>
      <c r="I149" s="337"/>
      <c r="J149" s="337"/>
      <c r="K149" s="350">
        <v>0</v>
      </c>
      <c r="L149" s="350">
        <v>0</v>
      </c>
    </row>
    <row r="150" spans="1:12">
      <c r="A150" s="153">
        <v>305</v>
      </c>
      <c r="B150" s="337">
        <v>100</v>
      </c>
      <c r="C150" s="337">
        <v>150</v>
      </c>
      <c r="D150" s="337">
        <v>400</v>
      </c>
      <c r="E150" s="152">
        <v>70</v>
      </c>
      <c r="F150" s="337">
        <v>0</v>
      </c>
      <c r="G150" s="344" t="s">
        <v>2460</v>
      </c>
      <c r="H150" s="344" t="s">
        <v>635</v>
      </c>
      <c r="I150" s="337"/>
      <c r="J150" s="337"/>
      <c r="K150" s="350">
        <v>0</v>
      </c>
      <c r="L150" s="350">
        <v>0</v>
      </c>
    </row>
    <row r="151" spans="1:12">
      <c r="A151" s="153">
        <v>305</v>
      </c>
      <c r="B151" s="337">
        <v>100</v>
      </c>
      <c r="C151" s="337">
        <v>150</v>
      </c>
      <c r="D151" s="337">
        <v>500</v>
      </c>
      <c r="E151" s="337">
        <v>0</v>
      </c>
      <c r="F151" s="337">
        <v>0</v>
      </c>
      <c r="G151" s="356" t="s">
        <v>2461</v>
      </c>
      <c r="H151" s="356" t="s">
        <v>692</v>
      </c>
      <c r="I151" s="337" t="s">
        <v>693</v>
      </c>
      <c r="J151" s="336"/>
      <c r="K151" s="351">
        <v>0</v>
      </c>
      <c r="L151" s="351">
        <v>0</v>
      </c>
    </row>
    <row r="152" spans="1:12" ht="25.5">
      <c r="A152" s="153">
        <v>305</v>
      </c>
      <c r="B152" s="337">
        <v>100</v>
      </c>
      <c r="C152" s="337">
        <v>150</v>
      </c>
      <c r="D152" s="337">
        <v>500</v>
      </c>
      <c r="E152" s="152">
        <v>10</v>
      </c>
      <c r="F152" s="337">
        <v>0</v>
      </c>
      <c r="G152" s="344" t="s">
        <v>2462</v>
      </c>
      <c r="H152" s="344" t="s">
        <v>694</v>
      </c>
      <c r="I152" s="337" t="s">
        <v>695</v>
      </c>
      <c r="J152" s="337"/>
      <c r="K152" s="350">
        <v>0</v>
      </c>
      <c r="L152" s="350">
        <v>0</v>
      </c>
    </row>
    <row r="153" spans="1:12" ht="38.25">
      <c r="A153" s="153">
        <v>305</v>
      </c>
      <c r="B153" s="337">
        <v>100</v>
      </c>
      <c r="C153" s="337">
        <v>150</v>
      </c>
      <c r="D153" s="337">
        <v>500</v>
      </c>
      <c r="E153" s="152">
        <v>15</v>
      </c>
      <c r="F153" s="337">
        <v>0</v>
      </c>
      <c r="G153" s="344" t="s">
        <v>2463</v>
      </c>
      <c r="H153" s="344" t="s">
        <v>696</v>
      </c>
      <c r="I153" s="337" t="s">
        <v>697</v>
      </c>
      <c r="J153" s="337"/>
      <c r="K153" s="350">
        <v>0</v>
      </c>
      <c r="L153" s="350">
        <v>0</v>
      </c>
    </row>
    <row r="154" spans="1:12" ht="25.5">
      <c r="A154" s="153">
        <v>305</v>
      </c>
      <c r="B154" s="337">
        <v>100</v>
      </c>
      <c r="C154" s="337">
        <v>150</v>
      </c>
      <c r="D154" s="337">
        <v>500</v>
      </c>
      <c r="E154" s="152">
        <v>20</v>
      </c>
      <c r="F154" s="337">
        <v>0</v>
      </c>
      <c r="G154" s="344" t="s">
        <v>2464</v>
      </c>
      <c r="H154" s="344" t="s">
        <v>698</v>
      </c>
      <c r="I154" s="337" t="s">
        <v>699</v>
      </c>
      <c r="J154" s="337"/>
      <c r="K154" s="350">
        <v>0</v>
      </c>
      <c r="L154" s="350">
        <v>0</v>
      </c>
    </row>
    <row r="155" spans="1:12" ht="25.5">
      <c r="A155" s="153">
        <v>305</v>
      </c>
      <c r="B155" s="337">
        <v>100</v>
      </c>
      <c r="C155" s="337">
        <v>150</v>
      </c>
      <c r="D155" s="337">
        <v>500</v>
      </c>
      <c r="E155" s="152">
        <v>25</v>
      </c>
      <c r="F155" s="337">
        <v>0</v>
      </c>
      <c r="G155" s="344" t="s">
        <v>2465</v>
      </c>
      <c r="H155" s="344" t="s">
        <v>700</v>
      </c>
      <c r="I155" s="337" t="s">
        <v>701</v>
      </c>
      <c r="J155" s="337"/>
      <c r="K155" s="350">
        <v>0</v>
      </c>
      <c r="L155" s="350">
        <v>0</v>
      </c>
    </row>
    <row r="156" spans="1:12" ht="25.5">
      <c r="A156" s="153">
        <v>305</v>
      </c>
      <c r="B156" s="337">
        <v>100</v>
      </c>
      <c r="C156" s="337">
        <v>150</v>
      </c>
      <c r="D156" s="337">
        <v>500</v>
      </c>
      <c r="E156" s="152">
        <v>30</v>
      </c>
      <c r="F156" s="337">
        <v>0</v>
      </c>
      <c r="G156" s="344" t="s">
        <v>2466</v>
      </c>
      <c r="H156" s="344" t="s">
        <v>702</v>
      </c>
      <c r="I156" s="337" t="s">
        <v>703</v>
      </c>
      <c r="J156" s="337"/>
      <c r="K156" s="350">
        <v>0</v>
      </c>
      <c r="L156" s="350">
        <v>0</v>
      </c>
    </row>
    <row r="157" spans="1:12" ht="25.5">
      <c r="A157" s="153">
        <v>305</v>
      </c>
      <c r="B157" s="337">
        <v>100</v>
      </c>
      <c r="C157" s="337">
        <v>150</v>
      </c>
      <c r="D157" s="337">
        <v>500</v>
      </c>
      <c r="E157" s="152">
        <v>35</v>
      </c>
      <c r="F157" s="337">
        <v>0</v>
      </c>
      <c r="G157" s="344" t="s">
        <v>2467</v>
      </c>
      <c r="H157" s="344" t="s">
        <v>704</v>
      </c>
      <c r="I157" s="337" t="s">
        <v>705</v>
      </c>
      <c r="J157" s="337"/>
      <c r="K157" s="350">
        <v>0</v>
      </c>
      <c r="L157" s="350">
        <v>0</v>
      </c>
    </row>
    <row r="158" spans="1:12" ht="25.5">
      <c r="A158" s="153">
        <v>305</v>
      </c>
      <c r="B158" s="337">
        <v>100</v>
      </c>
      <c r="C158" s="337">
        <v>150</v>
      </c>
      <c r="D158" s="337">
        <v>500</v>
      </c>
      <c r="E158" s="152">
        <v>40</v>
      </c>
      <c r="F158" s="337">
        <v>0</v>
      </c>
      <c r="G158" s="344" t="s">
        <v>2468</v>
      </c>
      <c r="H158" s="344" t="s">
        <v>706</v>
      </c>
      <c r="I158" s="337" t="s">
        <v>707</v>
      </c>
      <c r="J158" s="337"/>
      <c r="K158" s="350">
        <v>0</v>
      </c>
      <c r="L158" s="350">
        <v>0</v>
      </c>
    </row>
    <row r="159" spans="1:12" ht="25.5">
      <c r="A159" s="153">
        <v>305</v>
      </c>
      <c r="B159" s="337">
        <v>100</v>
      </c>
      <c r="C159" s="337">
        <v>150</v>
      </c>
      <c r="D159" s="337">
        <v>500</v>
      </c>
      <c r="E159" s="152">
        <v>45</v>
      </c>
      <c r="F159" s="337">
        <v>0</v>
      </c>
      <c r="G159" s="344" t="s">
        <v>2469</v>
      </c>
      <c r="H159" s="344" t="s">
        <v>708</v>
      </c>
      <c r="I159" s="337" t="s">
        <v>709</v>
      </c>
      <c r="J159" s="337"/>
      <c r="K159" s="350">
        <v>0</v>
      </c>
      <c r="L159" s="350">
        <v>0</v>
      </c>
    </row>
    <row r="160" spans="1:12" ht="25.5">
      <c r="A160" s="153">
        <v>305</v>
      </c>
      <c r="B160" s="337">
        <v>100</v>
      </c>
      <c r="C160" s="337">
        <v>150</v>
      </c>
      <c r="D160" s="152">
        <v>600</v>
      </c>
      <c r="E160" s="152">
        <v>0</v>
      </c>
      <c r="F160" s="337">
        <v>0</v>
      </c>
      <c r="G160" s="344" t="s">
        <v>2470</v>
      </c>
      <c r="H160" s="344" t="s">
        <v>710</v>
      </c>
      <c r="I160" s="337" t="s">
        <v>711</v>
      </c>
      <c r="J160" s="337"/>
      <c r="K160" s="350">
        <v>0</v>
      </c>
      <c r="L160" s="350">
        <v>0</v>
      </c>
    </row>
    <row r="161" spans="1:12" ht="51">
      <c r="A161" s="153">
        <v>305</v>
      </c>
      <c r="B161" s="337">
        <v>100</v>
      </c>
      <c r="C161" s="337">
        <v>150</v>
      </c>
      <c r="D161" s="152">
        <v>700</v>
      </c>
      <c r="E161" s="152">
        <v>0</v>
      </c>
      <c r="F161" s="337">
        <v>0</v>
      </c>
      <c r="G161" s="344" t="s">
        <v>2471</v>
      </c>
      <c r="H161" s="344" t="s">
        <v>712</v>
      </c>
      <c r="I161" s="337" t="s">
        <v>713</v>
      </c>
      <c r="J161" s="337"/>
      <c r="K161" s="350">
        <v>0</v>
      </c>
      <c r="L161" s="350">
        <v>0</v>
      </c>
    </row>
    <row r="162" spans="1:12">
      <c r="A162" s="153">
        <v>305</v>
      </c>
      <c r="B162" s="337">
        <v>100</v>
      </c>
      <c r="C162" s="337">
        <v>200</v>
      </c>
      <c r="D162" s="337">
        <v>0</v>
      </c>
      <c r="E162" s="152">
        <v>0</v>
      </c>
      <c r="F162" s="337">
        <v>0</v>
      </c>
      <c r="G162" s="356" t="s">
        <v>2472</v>
      </c>
      <c r="H162" s="356" t="s">
        <v>714</v>
      </c>
      <c r="I162" s="346" t="s">
        <v>715</v>
      </c>
      <c r="J162" s="348"/>
      <c r="K162" s="351">
        <v>0</v>
      </c>
      <c r="L162" s="351">
        <v>0</v>
      </c>
    </row>
    <row r="163" spans="1:12" ht="25.5">
      <c r="A163" s="153">
        <v>305</v>
      </c>
      <c r="B163" s="337">
        <v>100</v>
      </c>
      <c r="C163" s="337">
        <v>200</v>
      </c>
      <c r="D163" s="337">
        <v>100</v>
      </c>
      <c r="E163" s="152">
        <v>0</v>
      </c>
      <c r="F163" s="152">
        <v>0</v>
      </c>
      <c r="G163" s="344" t="s">
        <v>2473</v>
      </c>
      <c r="H163" s="344" t="s">
        <v>673</v>
      </c>
      <c r="I163" s="346" t="s">
        <v>716</v>
      </c>
      <c r="J163" s="346" t="s">
        <v>1522</v>
      </c>
      <c r="K163" s="350">
        <v>0</v>
      </c>
      <c r="L163" s="350">
        <v>0</v>
      </c>
    </row>
    <row r="164" spans="1:12">
      <c r="A164" s="153">
        <v>305</v>
      </c>
      <c r="B164" s="337">
        <v>100</v>
      </c>
      <c r="C164" s="337">
        <v>200</v>
      </c>
      <c r="D164" s="152">
        <v>200</v>
      </c>
      <c r="E164" s="337">
        <v>0</v>
      </c>
      <c r="F164" s="337">
        <v>0</v>
      </c>
      <c r="G164" s="344" t="s">
        <v>2474</v>
      </c>
      <c r="H164" s="344" t="s">
        <v>679</v>
      </c>
      <c r="I164" s="337" t="s">
        <v>717</v>
      </c>
      <c r="J164" s="337"/>
      <c r="K164" s="350">
        <v>0</v>
      </c>
      <c r="L164" s="350">
        <v>0</v>
      </c>
    </row>
    <row r="165" spans="1:12" ht="25.5">
      <c r="A165" s="153">
        <v>305</v>
      </c>
      <c r="B165" s="337">
        <v>100</v>
      </c>
      <c r="C165" s="337">
        <v>200</v>
      </c>
      <c r="D165" s="152">
        <v>300</v>
      </c>
      <c r="E165" s="337">
        <v>0</v>
      </c>
      <c r="F165" s="337">
        <v>0</v>
      </c>
      <c r="G165" s="344" t="s">
        <v>2475</v>
      </c>
      <c r="H165" s="344" t="s">
        <v>718</v>
      </c>
      <c r="I165" s="337" t="s">
        <v>719</v>
      </c>
      <c r="J165" s="337" t="s">
        <v>1571</v>
      </c>
      <c r="K165" s="350">
        <v>0</v>
      </c>
      <c r="L165" s="350">
        <v>0</v>
      </c>
    </row>
    <row r="166" spans="1:12">
      <c r="A166" s="153">
        <v>305</v>
      </c>
      <c r="B166" s="337">
        <v>100</v>
      </c>
      <c r="C166" s="337">
        <v>200</v>
      </c>
      <c r="D166" s="337">
        <v>400</v>
      </c>
      <c r="E166" s="337">
        <v>0</v>
      </c>
      <c r="F166" s="337">
        <v>0</v>
      </c>
      <c r="G166" s="356" t="s">
        <v>2476</v>
      </c>
      <c r="H166" s="356" t="s">
        <v>720</v>
      </c>
      <c r="I166" s="337" t="s">
        <v>721</v>
      </c>
      <c r="J166" s="336"/>
      <c r="K166" s="351">
        <v>0</v>
      </c>
      <c r="L166" s="351">
        <v>0</v>
      </c>
    </row>
    <row r="167" spans="1:12" ht="25.5">
      <c r="A167" s="153">
        <v>305</v>
      </c>
      <c r="B167" s="337">
        <v>100</v>
      </c>
      <c r="C167" s="337">
        <v>200</v>
      </c>
      <c r="D167" s="337">
        <v>400</v>
      </c>
      <c r="E167" s="152">
        <v>10</v>
      </c>
      <c r="F167" s="337">
        <v>0</v>
      </c>
      <c r="G167" s="344" t="s">
        <v>2477</v>
      </c>
      <c r="H167" s="344" t="s">
        <v>722</v>
      </c>
      <c r="I167" s="337"/>
      <c r="J167" s="337"/>
      <c r="K167" s="350">
        <v>0</v>
      </c>
      <c r="L167" s="350">
        <v>0</v>
      </c>
    </row>
    <row r="168" spans="1:12" ht="25.5">
      <c r="A168" s="153">
        <v>305</v>
      </c>
      <c r="B168" s="337">
        <v>100</v>
      </c>
      <c r="C168" s="337">
        <v>200</v>
      </c>
      <c r="D168" s="337">
        <v>400</v>
      </c>
      <c r="E168" s="152">
        <v>20</v>
      </c>
      <c r="F168" s="337">
        <v>0</v>
      </c>
      <c r="G168" s="344" t="s">
        <v>2478</v>
      </c>
      <c r="H168" s="344" t="s">
        <v>723</v>
      </c>
      <c r="I168" s="337"/>
      <c r="J168" s="337"/>
      <c r="K168" s="350">
        <v>0</v>
      </c>
      <c r="L168" s="350">
        <v>0</v>
      </c>
    </row>
    <row r="169" spans="1:12">
      <c r="A169" s="153">
        <v>305</v>
      </c>
      <c r="B169" s="337">
        <v>100</v>
      </c>
      <c r="C169" s="337">
        <v>200</v>
      </c>
      <c r="D169" s="337">
        <v>500</v>
      </c>
      <c r="E169" s="337">
        <v>0</v>
      </c>
      <c r="F169" s="337">
        <v>0</v>
      </c>
      <c r="G169" s="356" t="s">
        <v>2479</v>
      </c>
      <c r="H169" s="356" t="s">
        <v>724</v>
      </c>
      <c r="I169" s="337" t="s">
        <v>725</v>
      </c>
      <c r="J169" s="336"/>
      <c r="K169" s="351">
        <v>0</v>
      </c>
      <c r="L169" s="351">
        <v>0</v>
      </c>
    </row>
    <row r="170" spans="1:12" ht="25.5">
      <c r="A170" s="153">
        <v>305</v>
      </c>
      <c r="B170" s="337">
        <v>100</v>
      </c>
      <c r="C170" s="337">
        <v>200</v>
      </c>
      <c r="D170" s="337">
        <v>500</v>
      </c>
      <c r="E170" s="152">
        <v>10</v>
      </c>
      <c r="F170" s="337">
        <v>0</v>
      </c>
      <c r="G170" s="344" t="s">
        <v>2480</v>
      </c>
      <c r="H170" s="344" t="s">
        <v>722</v>
      </c>
      <c r="I170" s="337"/>
      <c r="J170" s="337"/>
      <c r="K170" s="350">
        <v>0</v>
      </c>
      <c r="L170" s="350">
        <v>0</v>
      </c>
    </row>
    <row r="171" spans="1:12" ht="25.5">
      <c r="A171" s="153">
        <v>305</v>
      </c>
      <c r="B171" s="337">
        <v>100</v>
      </c>
      <c r="C171" s="337">
        <v>200</v>
      </c>
      <c r="D171" s="337">
        <v>500</v>
      </c>
      <c r="E171" s="152">
        <v>20</v>
      </c>
      <c r="F171" s="337">
        <v>0</v>
      </c>
      <c r="G171" s="344" t="s">
        <v>2481</v>
      </c>
      <c r="H171" s="344" t="s">
        <v>723</v>
      </c>
      <c r="I171" s="337"/>
      <c r="J171" s="337"/>
      <c r="K171" s="350">
        <v>0</v>
      </c>
      <c r="L171" s="350">
        <v>0</v>
      </c>
    </row>
    <row r="172" spans="1:12">
      <c r="A172" s="153">
        <v>305</v>
      </c>
      <c r="B172" s="337">
        <v>100</v>
      </c>
      <c r="C172" s="337">
        <v>250</v>
      </c>
      <c r="D172" s="337">
        <v>0</v>
      </c>
      <c r="E172" s="337">
        <v>0</v>
      </c>
      <c r="F172" s="337">
        <v>0</v>
      </c>
      <c r="G172" s="345" t="s">
        <v>2482</v>
      </c>
      <c r="H172" s="345" t="s">
        <v>726</v>
      </c>
      <c r="I172" s="346" t="s">
        <v>727</v>
      </c>
      <c r="J172" s="348"/>
      <c r="K172" s="351">
        <v>0</v>
      </c>
      <c r="L172" s="351">
        <v>0</v>
      </c>
    </row>
    <row r="173" spans="1:12" ht="25.5">
      <c r="A173" s="153">
        <v>305</v>
      </c>
      <c r="B173" s="337">
        <v>100</v>
      </c>
      <c r="C173" s="337">
        <v>250</v>
      </c>
      <c r="D173" s="337">
        <v>100</v>
      </c>
      <c r="E173" s="152">
        <v>0</v>
      </c>
      <c r="F173" s="152">
        <v>0</v>
      </c>
      <c r="G173" s="344" t="s">
        <v>2483</v>
      </c>
      <c r="H173" s="344" t="s">
        <v>728</v>
      </c>
      <c r="I173" s="346" t="s">
        <v>729</v>
      </c>
      <c r="J173" s="346" t="s">
        <v>1522</v>
      </c>
      <c r="K173" s="350">
        <v>0</v>
      </c>
      <c r="L173" s="350">
        <v>0</v>
      </c>
    </row>
    <row r="174" spans="1:12">
      <c r="A174" s="153">
        <v>305</v>
      </c>
      <c r="B174" s="337">
        <v>100</v>
      </c>
      <c r="C174" s="337">
        <v>250</v>
      </c>
      <c r="D174" s="152">
        <v>200</v>
      </c>
      <c r="E174" s="152">
        <v>0</v>
      </c>
      <c r="F174" s="337">
        <v>0</v>
      </c>
      <c r="G174" s="344" t="s">
        <v>2484</v>
      </c>
      <c r="H174" s="344" t="s">
        <v>679</v>
      </c>
      <c r="I174" s="337" t="s">
        <v>730</v>
      </c>
      <c r="J174" s="337"/>
      <c r="K174" s="350">
        <v>0</v>
      </c>
      <c r="L174" s="350">
        <v>0</v>
      </c>
    </row>
    <row r="175" spans="1:12">
      <c r="A175" s="153">
        <v>305</v>
      </c>
      <c r="B175" s="337">
        <v>100</v>
      </c>
      <c r="C175" s="337">
        <v>250</v>
      </c>
      <c r="D175" s="152">
        <v>300</v>
      </c>
      <c r="E175" s="152">
        <v>0</v>
      </c>
      <c r="F175" s="337">
        <v>0</v>
      </c>
      <c r="G175" s="344" t="s">
        <v>2485</v>
      </c>
      <c r="H175" s="344" t="s">
        <v>669</v>
      </c>
      <c r="I175" s="337" t="s">
        <v>731</v>
      </c>
      <c r="J175" s="337" t="s">
        <v>1567</v>
      </c>
      <c r="K175" s="350">
        <v>0</v>
      </c>
      <c r="L175" s="350">
        <v>0</v>
      </c>
    </row>
    <row r="176" spans="1:12">
      <c r="A176" s="153">
        <v>305</v>
      </c>
      <c r="B176" s="337">
        <v>100</v>
      </c>
      <c r="C176" s="337">
        <v>250</v>
      </c>
      <c r="D176" s="337">
        <v>400</v>
      </c>
      <c r="E176" s="337">
        <v>0</v>
      </c>
      <c r="F176" s="337">
        <v>0</v>
      </c>
      <c r="G176" s="356" t="s">
        <v>2486</v>
      </c>
      <c r="H176" s="356" t="s">
        <v>732</v>
      </c>
      <c r="I176" s="337" t="s">
        <v>733</v>
      </c>
      <c r="J176" s="336"/>
      <c r="K176" s="351">
        <v>0</v>
      </c>
      <c r="L176" s="351">
        <v>0</v>
      </c>
    </row>
    <row r="177" spans="1:12">
      <c r="A177" s="153">
        <v>305</v>
      </c>
      <c r="B177" s="337">
        <v>100</v>
      </c>
      <c r="C177" s="337">
        <v>250</v>
      </c>
      <c r="D177" s="337">
        <v>400</v>
      </c>
      <c r="E177" s="152">
        <v>10</v>
      </c>
      <c r="F177" s="337">
        <v>0</v>
      </c>
      <c r="G177" s="344" t="s">
        <v>2487</v>
      </c>
      <c r="H177" s="344" t="s">
        <v>734</v>
      </c>
      <c r="I177" s="337"/>
      <c r="J177" s="337"/>
      <c r="K177" s="350">
        <v>0</v>
      </c>
      <c r="L177" s="350">
        <v>0</v>
      </c>
    </row>
    <row r="178" spans="1:12">
      <c r="A178" s="153">
        <v>305</v>
      </c>
      <c r="B178" s="337">
        <v>100</v>
      </c>
      <c r="C178" s="337">
        <v>250</v>
      </c>
      <c r="D178" s="337">
        <v>400</v>
      </c>
      <c r="E178" s="152">
        <v>20</v>
      </c>
      <c r="F178" s="337">
        <v>0</v>
      </c>
      <c r="G178" s="344" t="s">
        <v>2488</v>
      </c>
      <c r="H178" s="344" t="s">
        <v>735</v>
      </c>
      <c r="I178" s="337"/>
      <c r="J178" s="337"/>
      <c r="K178" s="350">
        <v>0</v>
      </c>
      <c r="L178" s="350">
        <v>0</v>
      </c>
    </row>
    <row r="179" spans="1:12">
      <c r="A179" s="153">
        <v>305</v>
      </c>
      <c r="B179" s="337">
        <v>100</v>
      </c>
      <c r="C179" s="337">
        <v>250</v>
      </c>
      <c r="D179" s="337">
        <v>400</v>
      </c>
      <c r="E179" s="152">
        <v>90</v>
      </c>
      <c r="F179" s="337">
        <v>0</v>
      </c>
      <c r="G179" s="344" t="s">
        <v>2490</v>
      </c>
      <c r="H179" s="344" t="s">
        <v>737</v>
      </c>
      <c r="I179" s="354"/>
      <c r="J179" s="354"/>
      <c r="K179" s="350">
        <v>0</v>
      </c>
      <c r="L179" s="350">
        <v>0</v>
      </c>
    </row>
    <row r="180" spans="1:12">
      <c r="A180" s="153">
        <v>305</v>
      </c>
      <c r="B180" s="337">
        <v>100</v>
      </c>
      <c r="C180" s="337">
        <v>300</v>
      </c>
      <c r="D180" s="337">
        <v>0</v>
      </c>
      <c r="E180" s="337">
        <v>0</v>
      </c>
      <c r="F180" s="337">
        <v>0</v>
      </c>
      <c r="G180" s="345" t="s">
        <v>2491</v>
      </c>
      <c r="H180" s="345" t="s">
        <v>738</v>
      </c>
      <c r="I180" s="346" t="s">
        <v>739</v>
      </c>
      <c r="J180" s="348" t="s">
        <v>1522</v>
      </c>
      <c r="K180" s="351">
        <v>0</v>
      </c>
      <c r="L180" s="351">
        <v>0</v>
      </c>
    </row>
    <row r="181" spans="1:12" ht="25.5">
      <c r="A181" s="153">
        <v>305</v>
      </c>
      <c r="B181" s="337">
        <v>100</v>
      </c>
      <c r="C181" s="337">
        <v>300</v>
      </c>
      <c r="D181" s="337">
        <v>100</v>
      </c>
      <c r="E181" s="152">
        <v>0</v>
      </c>
      <c r="F181" s="152">
        <v>0</v>
      </c>
      <c r="G181" s="344" t="s">
        <v>2492</v>
      </c>
      <c r="H181" s="344" t="s">
        <v>673</v>
      </c>
      <c r="I181" s="346" t="s">
        <v>739</v>
      </c>
      <c r="J181" s="346" t="s">
        <v>1522</v>
      </c>
      <c r="K181" s="350">
        <v>0</v>
      </c>
      <c r="L181" s="350">
        <v>0</v>
      </c>
    </row>
    <row r="182" spans="1:12">
      <c r="A182" s="153">
        <v>305</v>
      </c>
      <c r="B182" s="337">
        <v>100</v>
      </c>
      <c r="C182" s="337">
        <v>300</v>
      </c>
      <c r="D182" s="152">
        <v>200</v>
      </c>
      <c r="E182" s="152">
        <v>0</v>
      </c>
      <c r="F182" s="337">
        <v>0</v>
      </c>
      <c r="G182" s="344" t="s">
        <v>2493</v>
      </c>
      <c r="H182" s="344" t="s">
        <v>679</v>
      </c>
      <c r="I182" s="337" t="s">
        <v>740</v>
      </c>
      <c r="J182" s="337"/>
      <c r="K182" s="350">
        <v>0</v>
      </c>
      <c r="L182" s="350">
        <v>0</v>
      </c>
    </row>
    <row r="183" spans="1:12">
      <c r="A183" s="153">
        <v>305</v>
      </c>
      <c r="B183" s="337">
        <v>100</v>
      </c>
      <c r="C183" s="337">
        <v>300</v>
      </c>
      <c r="D183" s="152">
        <v>300</v>
      </c>
      <c r="E183" s="152">
        <v>0</v>
      </c>
      <c r="F183" s="337">
        <v>0</v>
      </c>
      <c r="G183" s="344" t="s">
        <v>2494</v>
      </c>
      <c r="H183" s="344" t="s">
        <v>669</v>
      </c>
      <c r="I183" s="337" t="s">
        <v>741</v>
      </c>
      <c r="J183" s="337" t="s">
        <v>1567</v>
      </c>
      <c r="K183" s="350">
        <v>0</v>
      </c>
      <c r="L183" s="350">
        <v>0</v>
      </c>
    </row>
    <row r="184" spans="1:12">
      <c r="A184" s="153">
        <v>305</v>
      </c>
      <c r="B184" s="337">
        <v>100</v>
      </c>
      <c r="C184" s="337">
        <v>300</v>
      </c>
      <c r="D184" s="337">
        <v>400</v>
      </c>
      <c r="E184" s="337">
        <v>0</v>
      </c>
      <c r="F184" s="337">
        <v>0</v>
      </c>
      <c r="G184" s="345" t="s">
        <v>2495</v>
      </c>
      <c r="H184" s="345" t="s">
        <v>692</v>
      </c>
      <c r="I184" s="337" t="s">
        <v>742</v>
      </c>
      <c r="J184" s="336"/>
      <c r="K184" s="351">
        <v>0</v>
      </c>
      <c r="L184" s="351">
        <v>0</v>
      </c>
    </row>
    <row r="185" spans="1:12" ht="25.5">
      <c r="A185" s="153">
        <v>305</v>
      </c>
      <c r="B185" s="337">
        <v>100</v>
      </c>
      <c r="C185" s="337">
        <v>300</v>
      </c>
      <c r="D185" s="337">
        <v>400</v>
      </c>
      <c r="E185" s="152">
        <v>10</v>
      </c>
      <c r="F185" s="337">
        <v>0</v>
      </c>
      <c r="G185" s="344" t="s">
        <v>2496</v>
      </c>
      <c r="H185" s="344" t="s">
        <v>743</v>
      </c>
      <c r="I185" s="337"/>
      <c r="J185" s="337"/>
      <c r="K185" s="350">
        <v>0</v>
      </c>
      <c r="L185" s="350">
        <v>0</v>
      </c>
    </row>
    <row r="186" spans="1:12">
      <c r="A186" s="153">
        <v>305</v>
      </c>
      <c r="B186" s="337">
        <v>100</v>
      </c>
      <c r="C186" s="337">
        <v>300</v>
      </c>
      <c r="D186" s="337">
        <v>400</v>
      </c>
      <c r="E186" s="152">
        <v>20</v>
      </c>
      <c r="F186" s="337">
        <v>0</v>
      </c>
      <c r="G186" s="344" t="s">
        <v>2497</v>
      </c>
      <c r="H186" s="344" t="s">
        <v>744</v>
      </c>
      <c r="I186" s="337"/>
      <c r="J186" s="337"/>
      <c r="K186" s="350">
        <v>0</v>
      </c>
      <c r="L186" s="350">
        <v>0</v>
      </c>
    </row>
    <row r="187" spans="1:12">
      <c r="A187" s="153">
        <v>305</v>
      </c>
      <c r="B187" s="337">
        <v>100</v>
      </c>
      <c r="C187" s="337">
        <v>350</v>
      </c>
      <c r="D187" s="337">
        <v>0</v>
      </c>
      <c r="E187" s="337">
        <v>0</v>
      </c>
      <c r="F187" s="337">
        <v>0</v>
      </c>
      <c r="G187" s="345" t="s">
        <v>2498</v>
      </c>
      <c r="H187" s="345" t="s">
        <v>745</v>
      </c>
      <c r="I187" s="337" t="s">
        <v>746</v>
      </c>
      <c r="J187" s="336"/>
      <c r="K187" s="351">
        <v>0</v>
      </c>
      <c r="L187" s="351">
        <v>0</v>
      </c>
    </row>
    <row r="188" spans="1:12">
      <c r="A188" s="153">
        <v>305</v>
      </c>
      <c r="B188" s="337">
        <v>100</v>
      </c>
      <c r="C188" s="337">
        <v>350</v>
      </c>
      <c r="D188" s="337">
        <v>100</v>
      </c>
      <c r="E188" s="337">
        <v>0</v>
      </c>
      <c r="F188" s="337">
        <v>0</v>
      </c>
      <c r="G188" s="356" t="s">
        <v>2499</v>
      </c>
      <c r="H188" s="356" t="s">
        <v>673</v>
      </c>
      <c r="I188" s="337" t="s">
        <v>747</v>
      </c>
      <c r="J188" s="336" t="s">
        <v>1522</v>
      </c>
      <c r="K188" s="351">
        <v>0</v>
      </c>
      <c r="L188" s="351">
        <v>0</v>
      </c>
    </row>
    <row r="189" spans="1:12" ht="25.5">
      <c r="A189" s="153">
        <v>305</v>
      </c>
      <c r="B189" s="337">
        <v>100</v>
      </c>
      <c r="C189" s="337">
        <v>350</v>
      </c>
      <c r="D189" s="337">
        <v>100</v>
      </c>
      <c r="E189" s="152">
        <v>10</v>
      </c>
      <c r="F189" s="337">
        <v>0</v>
      </c>
      <c r="G189" s="344" t="s">
        <v>2500</v>
      </c>
      <c r="H189" s="344" t="s">
        <v>748</v>
      </c>
      <c r="I189" s="337"/>
      <c r="J189" s="337" t="s">
        <v>1522</v>
      </c>
      <c r="K189" s="350">
        <v>0</v>
      </c>
      <c r="L189" s="350">
        <v>0</v>
      </c>
    </row>
    <row r="190" spans="1:12" ht="25.5">
      <c r="A190" s="153">
        <v>305</v>
      </c>
      <c r="B190" s="337">
        <v>100</v>
      </c>
      <c r="C190" s="337">
        <v>350</v>
      </c>
      <c r="D190" s="337">
        <v>100</v>
      </c>
      <c r="E190" s="152">
        <v>20</v>
      </c>
      <c r="F190" s="337">
        <v>0</v>
      </c>
      <c r="G190" s="344" t="s">
        <v>2501</v>
      </c>
      <c r="H190" s="344" t="s">
        <v>749</v>
      </c>
      <c r="I190" s="337"/>
      <c r="J190" s="337" t="s">
        <v>1522</v>
      </c>
      <c r="K190" s="350">
        <v>0</v>
      </c>
      <c r="L190" s="350">
        <v>0</v>
      </c>
    </row>
    <row r="191" spans="1:12">
      <c r="A191" s="153">
        <v>305</v>
      </c>
      <c r="B191" s="337">
        <v>100</v>
      </c>
      <c r="C191" s="337">
        <v>350</v>
      </c>
      <c r="D191" s="152">
        <v>200</v>
      </c>
      <c r="E191" s="152">
        <v>0</v>
      </c>
      <c r="F191" s="337">
        <v>0</v>
      </c>
      <c r="G191" s="344" t="s">
        <v>2502</v>
      </c>
      <c r="H191" s="344" t="s">
        <v>679</v>
      </c>
      <c r="I191" s="337" t="s">
        <v>750</v>
      </c>
      <c r="J191" s="337"/>
      <c r="K191" s="350">
        <v>0</v>
      </c>
      <c r="L191" s="350">
        <v>0</v>
      </c>
    </row>
    <row r="192" spans="1:12">
      <c r="A192" s="153">
        <v>305</v>
      </c>
      <c r="B192" s="337">
        <v>100</v>
      </c>
      <c r="C192" s="337">
        <v>350</v>
      </c>
      <c r="D192" s="337">
        <v>300</v>
      </c>
      <c r="E192" s="337">
        <v>0</v>
      </c>
      <c r="F192" s="337">
        <v>0</v>
      </c>
      <c r="G192" s="356" t="s">
        <v>2503</v>
      </c>
      <c r="H192" s="356" t="s">
        <v>669</v>
      </c>
      <c r="I192" s="337" t="s">
        <v>751</v>
      </c>
      <c r="J192" s="336" t="s">
        <v>1567</v>
      </c>
      <c r="K192" s="351">
        <v>0</v>
      </c>
      <c r="L192" s="351">
        <v>0</v>
      </c>
    </row>
    <row r="193" spans="1:12" ht="25.5">
      <c r="A193" s="153">
        <v>305</v>
      </c>
      <c r="B193" s="337">
        <v>100</v>
      </c>
      <c r="C193" s="337">
        <v>350</v>
      </c>
      <c r="D193" s="337">
        <v>300</v>
      </c>
      <c r="E193" s="152">
        <v>10</v>
      </c>
      <c r="F193" s="337">
        <v>0</v>
      </c>
      <c r="G193" s="344" t="s">
        <v>2504</v>
      </c>
      <c r="H193" s="344" t="s">
        <v>752</v>
      </c>
      <c r="I193" s="337"/>
      <c r="J193" s="337" t="s">
        <v>1567</v>
      </c>
      <c r="K193" s="350">
        <v>0</v>
      </c>
      <c r="L193" s="350">
        <v>0</v>
      </c>
    </row>
    <row r="194" spans="1:12">
      <c r="A194" s="153">
        <v>305</v>
      </c>
      <c r="B194" s="337">
        <v>100</v>
      </c>
      <c r="C194" s="337">
        <v>350</v>
      </c>
      <c r="D194" s="337">
        <v>400</v>
      </c>
      <c r="E194" s="337">
        <v>0</v>
      </c>
      <c r="F194" s="337">
        <v>0</v>
      </c>
      <c r="G194" s="356" t="s">
        <v>2506</v>
      </c>
      <c r="H194" s="356" t="s">
        <v>692</v>
      </c>
      <c r="I194" s="337" t="s">
        <v>754</v>
      </c>
      <c r="J194" s="336"/>
      <c r="K194" s="351">
        <v>0</v>
      </c>
      <c r="L194" s="351">
        <v>0</v>
      </c>
    </row>
    <row r="195" spans="1:12" ht="25.5">
      <c r="A195" s="153">
        <v>305</v>
      </c>
      <c r="B195" s="337">
        <v>100</v>
      </c>
      <c r="C195" s="337">
        <v>350</v>
      </c>
      <c r="D195" s="337">
        <v>400</v>
      </c>
      <c r="E195" s="152">
        <v>10</v>
      </c>
      <c r="F195" s="337">
        <v>0</v>
      </c>
      <c r="G195" s="344" t="s">
        <v>2507</v>
      </c>
      <c r="H195" s="344" t="s">
        <v>755</v>
      </c>
      <c r="I195" s="337" t="s">
        <v>756</v>
      </c>
      <c r="J195" s="337"/>
      <c r="K195" s="350">
        <v>0</v>
      </c>
      <c r="L195" s="350">
        <v>0</v>
      </c>
    </row>
    <row r="196" spans="1:12" ht="25.5">
      <c r="A196" s="153">
        <v>305</v>
      </c>
      <c r="B196" s="337">
        <v>100</v>
      </c>
      <c r="C196" s="337">
        <v>350</v>
      </c>
      <c r="D196" s="337">
        <v>400</v>
      </c>
      <c r="E196" s="152">
        <v>20</v>
      </c>
      <c r="F196" s="337">
        <v>0</v>
      </c>
      <c r="G196" s="344" t="s">
        <v>2508</v>
      </c>
      <c r="H196" s="344" t="s">
        <v>757</v>
      </c>
      <c r="I196" s="337" t="s">
        <v>758</v>
      </c>
      <c r="J196" s="337"/>
      <c r="K196" s="350">
        <v>0</v>
      </c>
      <c r="L196" s="350">
        <v>0</v>
      </c>
    </row>
    <row r="197" spans="1:12" ht="25.5">
      <c r="A197" s="153">
        <v>305</v>
      </c>
      <c r="B197" s="337">
        <v>100</v>
      </c>
      <c r="C197" s="337">
        <v>350</v>
      </c>
      <c r="D197" s="337">
        <v>400</v>
      </c>
      <c r="E197" s="152">
        <v>30</v>
      </c>
      <c r="F197" s="337">
        <v>0</v>
      </c>
      <c r="G197" s="344" t="s">
        <v>2509</v>
      </c>
      <c r="H197" s="344" t="s">
        <v>759</v>
      </c>
      <c r="I197" s="337" t="s">
        <v>760</v>
      </c>
      <c r="J197" s="337"/>
      <c r="K197" s="350">
        <v>0</v>
      </c>
      <c r="L197" s="350">
        <v>0</v>
      </c>
    </row>
    <row r="198" spans="1:12" ht="25.5">
      <c r="A198" s="153">
        <v>305</v>
      </c>
      <c r="B198" s="337">
        <v>100</v>
      </c>
      <c r="C198" s="337">
        <v>350</v>
      </c>
      <c r="D198" s="337">
        <v>400</v>
      </c>
      <c r="E198" s="152">
        <v>40</v>
      </c>
      <c r="F198" s="337">
        <v>0</v>
      </c>
      <c r="G198" s="344" t="s">
        <v>2510</v>
      </c>
      <c r="H198" s="344" t="s">
        <v>761</v>
      </c>
      <c r="I198" s="337" t="s">
        <v>762</v>
      </c>
      <c r="J198" s="337"/>
      <c r="K198" s="350">
        <v>0</v>
      </c>
      <c r="L198" s="350">
        <v>0</v>
      </c>
    </row>
    <row r="199" spans="1:12" ht="25.5">
      <c r="A199" s="153">
        <v>305</v>
      </c>
      <c r="B199" s="337">
        <v>100</v>
      </c>
      <c r="C199" s="337">
        <v>350</v>
      </c>
      <c r="D199" s="152">
        <v>500</v>
      </c>
      <c r="E199" s="337">
        <v>0</v>
      </c>
      <c r="F199" s="337">
        <v>0</v>
      </c>
      <c r="G199" s="356" t="s">
        <v>2511</v>
      </c>
      <c r="H199" s="356" t="s">
        <v>710</v>
      </c>
      <c r="I199" s="337" t="s">
        <v>763</v>
      </c>
      <c r="J199" s="337"/>
      <c r="K199" s="350">
        <v>0</v>
      </c>
      <c r="L199" s="350">
        <v>0</v>
      </c>
    </row>
    <row r="200" spans="1:12" ht="25.5">
      <c r="A200" s="153">
        <v>305</v>
      </c>
      <c r="B200" s="337">
        <v>100</v>
      </c>
      <c r="C200" s="337">
        <v>400</v>
      </c>
      <c r="D200" s="337">
        <v>0</v>
      </c>
      <c r="E200" s="337">
        <v>0</v>
      </c>
      <c r="F200" s="337">
        <v>0</v>
      </c>
      <c r="G200" s="345" t="s">
        <v>2512</v>
      </c>
      <c r="H200" s="345" t="s">
        <v>764</v>
      </c>
      <c r="I200" s="337" t="s">
        <v>765</v>
      </c>
      <c r="J200" s="336"/>
      <c r="K200" s="351">
        <v>0</v>
      </c>
      <c r="L200" s="351">
        <v>0</v>
      </c>
    </row>
    <row r="201" spans="1:12" ht="25.5">
      <c r="A201" s="153">
        <v>305</v>
      </c>
      <c r="B201" s="337">
        <v>100</v>
      </c>
      <c r="C201" s="337">
        <v>400</v>
      </c>
      <c r="D201" s="337">
        <v>100</v>
      </c>
      <c r="E201" s="152">
        <v>0</v>
      </c>
      <c r="F201" s="152">
        <v>0</v>
      </c>
      <c r="G201" s="344" t="s">
        <v>2513</v>
      </c>
      <c r="H201" s="344" t="s">
        <v>673</v>
      </c>
      <c r="I201" s="346" t="s">
        <v>766</v>
      </c>
      <c r="J201" s="346" t="s">
        <v>1522</v>
      </c>
      <c r="K201" s="350">
        <v>0</v>
      </c>
      <c r="L201" s="350">
        <v>0</v>
      </c>
    </row>
    <row r="202" spans="1:12">
      <c r="A202" s="153">
        <v>305</v>
      </c>
      <c r="B202" s="337">
        <v>100</v>
      </c>
      <c r="C202" s="337">
        <v>400</v>
      </c>
      <c r="D202" s="152">
        <v>200</v>
      </c>
      <c r="E202" s="152">
        <v>0</v>
      </c>
      <c r="F202" s="337">
        <v>0</v>
      </c>
      <c r="G202" s="344" t="s">
        <v>2514</v>
      </c>
      <c r="H202" s="344" t="s">
        <v>679</v>
      </c>
      <c r="I202" s="337" t="s">
        <v>767</v>
      </c>
      <c r="J202" s="337"/>
      <c r="K202" s="350">
        <v>0</v>
      </c>
      <c r="L202" s="350">
        <v>0</v>
      </c>
    </row>
    <row r="203" spans="1:12" ht="25.5">
      <c r="A203" s="153">
        <v>305</v>
      </c>
      <c r="B203" s="337">
        <v>100</v>
      </c>
      <c r="C203" s="337">
        <v>400</v>
      </c>
      <c r="D203" s="152">
        <v>300</v>
      </c>
      <c r="E203" s="152">
        <v>0</v>
      </c>
      <c r="F203" s="337">
        <v>0</v>
      </c>
      <c r="G203" s="344" t="s">
        <v>2515</v>
      </c>
      <c r="H203" s="344" t="s">
        <v>768</v>
      </c>
      <c r="I203" s="337" t="s">
        <v>769</v>
      </c>
      <c r="J203" s="337" t="s">
        <v>1571</v>
      </c>
      <c r="K203" s="350">
        <v>0</v>
      </c>
      <c r="L203" s="350">
        <v>0</v>
      </c>
    </row>
    <row r="204" spans="1:12">
      <c r="A204" s="153">
        <v>305</v>
      </c>
      <c r="B204" s="337">
        <v>100</v>
      </c>
      <c r="C204" s="337">
        <v>400</v>
      </c>
      <c r="D204" s="152">
        <v>400</v>
      </c>
      <c r="E204" s="152">
        <v>0</v>
      </c>
      <c r="F204" s="337">
        <v>0</v>
      </c>
      <c r="G204" s="344" t="s">
        <v>2516</v>
      </c>
      <c r="H204" s="344" t="s">
        <v>720</v>
      </c>
      <c r="I204" s="337" t="s">
        <v>770</v>
      </c>
      <c r="J204" s="337"/>
      <c r="K204" s="350">
        <v>0</v>
      </c>
      <c r="L204" s="350">
        <v>0</v>
      </c>
    </row>
    <row r="205" spans="1:12">
      <c r="A205" s="153">
        <v>305</v>
      </c>
      <c r="B205" s="337">
        <v>100</v>
      </c>
      <c r="C205" s="337">
        <v>400</v>
      </c>
      <c r="D205" s="152">
        <v>500</v>
      </c>
      <c r="E205" s="152">
        <v>0</v>
      </c>
      <c r="F205" s="337">
        <v>0</v>
      </c>
      <c r="G205" s="344" t="s">
        <v>2517</v>
      </c>
      <c r="H205" s="344" t="s">
        <v>724</v>
      </c>
      <c r="I205" s="337" t="s">
        <v>771</v>
      </c>
      <c r="J205" s="337"/>
      <c r="K205" s="350">
        <v>0</v>
      </c>
      <c r="L205" s="350">
        <v>0</v>
      </c>
    </row>
    <row r="206" spans="1:12">
      <c r="A206" s="153">
        <v>305</v>
      </c>
      <c r="B206" s="337">
        <v>100</v>
      </c>
      <c r="C206" s="337">
        <v>450</v>
      </c>
      <c r="D206" s="337">
        <v>0</v>
      </c>
      <c r="E206" s="337">
        <v>0</v>
      </c>
      <c r="F206" s="337">
        <v>0</v>
      </c>
      <c r="G206" s="345" t="s">
        <v>2518</v>
      </c>
      <c r="H206" s="345" t="s">
        <v>772</v>
      </c>
      <c r="I206" s="337" t="s">
        <v>773</v>
      </c>
      <c r="J206" s="336"/>
      <c r="K206" s="351">
        <v>0</v>
      </c>
      <c r="L206" s="351">
        <v>0</v>
      </c>
    </row>
    <row r="207" spans="1:12" ht="25.5">
      <c r="A207" s="153">
        <v>305</v>
      </c>
      <c r="B207" s="337">
        <v>100</v>
      </c>
      <c r="C207" s="337">
        <v>450</v>
      </c>
      <c r="D207" s="337">
        <v>100</v>
      </c>
      <c r="E207" s="337">
        <v>0</v>
      </c>
      <c r="F207" s="337">
        <v>0</v>
      </c>
      <c r="G207" s="356" t="s">
        <v>2519</v>
      </c>
      <c r="H207" s="356" t="s">
        <v>658</v>
      </c>
      <c r="I207" s="337" t="s">
        <v>774</v>
      </c>
      <c r="J207" s="336" t="s">
        <v>1522</v>
      </c>
      <c r="K207" s="351">
        <v>0</v>
      </c>
      <c r="L207" s="351">
        <v>0</v>
      </c>
    </row>
    <row r="208" spans="1:12">
      <c r="A208" s="153">
        <v>305</v>
      </c>
      <c r="B208" s="337">
        <v>100</v>
      </c>
      <c r="C208" s="337">
        <v>450</v>
      </c>
      <c r="D208" s="337">
        <v>100</v>
      </c>
      <c r="E208" s="152">
        <v>10</v>
      </c>
      <c r="F208" s="152">
        <v>0</v>
      </c>
      <c r="G208" s="344" t="s">
        <v>2520</v>
      </c>
      <c r="H208" s="344" t="s">
        <v>775</v>
      </c>
      <c r="I208" s="354"/>
      <c r="J208" s="354" t="s">
        <v>1522</v>
      </c>
      <c r="K208" s="350">
        <v>0</v>
      </c>
      <c r="L208" s="350">
        <v>0</v>
      </c>
    </row>
    <row r="209" spans="1:12">
      <c r="A209" s="153">
        <v>305</v>
      </c>
      <c r="B209" s="337">
        <v>100</v>
      </c>
      <c r="C209" s="337">
        <v>450</v>
      </c>
      <c r="D209" s="337">
        <v>100</v>
      </c>
      <c r="E209" s="152">
        <v>20</v>
      </c>
      <c r="F209" s="152">
        <v>0</v>
      </c>
      <c r="G209" s="344" t="s">
        <v>2521</v>
      </c>
      <c r="H209" s="344" t="s">
        <v>776</v>
      </c>
      <c r="I209" s="354"/>
      <c r="J209" s="354" t="s">
        <v>1522</v>
      </c>
      <c r="K209" s="350">
        <v>0</v>
      </c>
      <c r="L209" s="350">
        <v>0</v>
      </c>
    </row>
    <row r="210" spans="1:12">
      <c r="A210" s="153">
        <v>305</v>
      </c>
      <c r="B210" s="337">
        <v>100</v>
      </c>
      <c r="C210" s="337">
        <v>450</v>
      </c>
      <c r="D210" s="152">
        <v>200</v>
      </c>
      <c r="E210" s="152">
        <v>0</v>
      </c>
      <c r="F210" s="337">
        <v>0</v>
      </c>
      <c r="G210" s="344" t="s">
        <v>2522</v>
      </c>
      <c r="H210" s="344" t="s">
        <v>679</v>
      </c>
      <c r="I210" s="337" t="s">
        <v>777</v>
      </c>
      <c r="J210" s="337"/>
      <c r="K210" s="350">
        <v>0</v>
      </c>
      <c r="L210" s="350">
        <v>0</v>
      </c>
    </row>
    <row r="211" spans="1:12">
      <c r="A211" s="153">
        <v>305</v>
      </c>
      <c r="B211" s="337">
        <v>100</v>
      </c>
      <c r="C211" s="337">
        <v>450</v>
      </c>
      <c r="D211" s="152">
        <v>300</v>
      </c>
      <c r="E211" s="152">
        <v>0</v>
      </c>
      <c r="F211" s="337">
        <v>0</v>
      </c>
      <c r="G211" s="344" t="s">
        <v>2523</v>
      </c>
      <c r="H211" s="344" t="s">
        <v>669</v>
      </c>
      <c r="I211" s="337" t="s">
        <v>778</v>
      </c>
      <c r="J211" s="337" t="s">
        <v>1567</v>
      </c>
      <c r="K211" s="350">
        <v>0</v>
      </c>
      <c r="L211" s="350">
        <v>0</v>
      </c>
    </row>
    <row r="212" spans="1:12">
      <c r="A212" s="153">
        <v>305</v>
      </c>
      <c r="B212" s="337">
        <v>100</v>
      </c>
      <c r="C212" s="337">
        <v>450</v>
      </c>
      <c r="D212" s="337">
        <v>400</v>
      </c>
      <c r="E212" s="337">
        <v>0</v>
      </c>
      <c r="F212" s="337">
        <v>0</v>
      </c>
      <c r="G212" s="356" t="s">
        <v>2524</v>
      </c>
      <c r="H212" s="356" t="s">
        <v>720</v>
      </c>
      <c r="I212" s="337" t="s">
        <v>779</v>
      </c>
      <c r="J212" s="336"/>
      <c r="K212" s="351">
        <v>0</v>
      </c>
      <c r="L212" s="351">
        <v>0</v>
      </c>
    </row>
    <row r="213" spans="1:12">
      <c r="A213" s="153">
        <v>305</v>
      </c>
      <c r="B213" s="337">
        <v>100</v>
      </c>
      <c r="C213" s="337">
        <v>450</v>
      </c>
      <c r="D213" s="337">
        <v>400</v>
      </c>
      <c r="E213" s="152">
        <v>90</v>
      </c>
      <c r="F213" s="152">
        <v>0</v>
      </c>
      <c r="G213" s="344" t="s">
        <v>2526</v>
      </c>
      <c r="H213" s="344" t="s">
        <v>3449</v>
      </c>
      <c r="I213" s="337"/>
      <c r="J213" s="337"/>
      <c r="K213" s="350">
        <v>0</v>
      </c>
      <c r="L213" s="350">
        <v>0</v>
      </c>
    </row>
    <row r="214" spans="1:12">
      <c r="A214" s="153">
        <v>305</v>
      </c>
      <c r="B214" s="337">
        <v>100</v>
      </c>
      <c r="C214" s="337">
        <v>450</v>
      </c>
      <c r="D214" s="152">
        <v>500</v>
      </c>
      <c r="E214" s="152">
        <v>0</v>
      </c>
      <c r="F214" s="337">
        <v>0</v>
      </c>
      <c r="G214" s="344" t="s">
        <v>2527</v>
      </c>
      <c r="H214" s="344" t="s">
        <v>724</v>
      </c>
      <c r="I214" s="337" t="s">
        <v>780</v>
      </c>
      <c r="J214" s="337"/>
      <c r="K214" s="350">
        <v>0</v>
      </c>
      <c r="L214" s="350">
        <v>0</v>
      </c>
    </row>
    <row r="215" spans="1:12" ht="25.5">
      <c r="A215" s="153">
        <v>305</v>
      </c>
      <c r="B215" s="337">
        <v>100</v>
      </c>
      <c r="C215" s="337">
        <v>450</v>
      </c>
      <c r="D215" s="152">
        <v>600</v>
      </c>
      <c r="E215" s="152">
        <v>0</v>
      </c>
      <c r="F215" s="337">
        <v>0</v>
      </c>
      <c r="G215" s="344" t="s">
        <v>2528</v>
      </c>
      <c r="H215" s="344" t="s">
        <v>710</v>
      </c>
      <c r="I215" s="337" t="s">
        <v>781</v>
      </c>
      <c r="J215" s="337"/>
      <c r="K215" s="350">
        <v>0</v>
      </c>
      <c r="L215" s="350">
        <v>0</v>
      </c>
    </row>
    <row r="216" spans="1:12">
      <c r="A216" s="153">
        <v>305</v>
      </c>
      <c r="B216" s="337">
        <v>100</v>
      </c>
      <c r="C216" s="337">
        <v>500</v>
      </c>
      <c r="D216" s="337">
        <v>0</v>
      </c>
      <c r="E216" s="337">
        <v>0</v>
      </c>
      <c r="F216" s="337">
        <v>0</v>
      </c>
      <c r="G216" s="345" t="s">
        <v>2529</v>
      </c>
      <c r="H216" s="345" t="s">
        <v>782</v>
      </c>
      <c r="I216" s="337" t="s">
        <v>783</v>
      </c>
      <c r="J216" s="336"/>
      <c r="K216" s="351">
        <v>0</v>
      </c>
      <c r="L216" s="351">
        <v>0</v>
      </c>
    </row>
    <row r="217" spans="1:12" ht="25.5">
      <c r="A217" s="153">
        <v>305</v>
      </c>
      <c r="B217" s="337">
        <v>100</v>
      </c>
      <c r="C217" s="337">
        <v>500</v>
      </c>
      <c r="D217" s="337">
        <v>100</v>
      </c>
      <c r="E217" s="152">
        <v>0</v>
      </c>
      <c r="F217" s="152">
        <v>0</v>
      </c>
      <c r="G217" s="344" t="s">
        <v>2530</v>
      </c>
      <c r="H217" s="344" t="s">
        <v>658</v>
      </c>
      <c r="I217" s="346" t="s">
        <v>784</v>
      </c>
      <c r="J217" s="346" t="s">
        <v>1522</v>
      </c>
      <c r="K217" s="350">
        <v>0</v>
      </c>
      <c r="L217" s="350">
        <v>0</v>
      </c>
    </row>
    <row r="218" spans="1:12">
      <c r="A218" s="153">
        <v>305</v>
      </c>
      <c r="B218" s="337">
        <v>100</v>
      </c>
      <c r="C218" s="337">
        <v>500</v>
      </c>
      <c r="D218" s="152">
        <v>200</v>
      </c>
      <c r="E218" s="152">
        <v>0</v>
      </c>
      <c r="F218" s="337">
        <v>0</v>
      </c>
      <c r="G218" s="344" t="s">
        <v>2531</v>
      </c>
      <c r="H218" s="344" t="s">
        <v>679</v>
      </c>
      <c r="I218" s="337" t="s">
        <v>785</v>
      </c>
      <c r="J218" s="337"/>
      <c r="K218" s="350">
        <v>0</v>
      </c>
      <c r="L218" s="350">
        <v>0</v>
      </c>
    </row>
    <row r="219" spans="1:12">
      <c r="A219" s="153">
        <v>305</v>
      </c>
      <c r="B219" s="337">
        <v>100</v>
      </c>
      <c r="C219" s="337">
        <v>500</v>
      </c>
      <c r="D219" s="152">
        <v>300</v>
      </c>
      <c r="E219" s="152">
        <v>0</v>
      </c>
      <c r="F219" s="337">
        <v>0</v>
      </c>
      <c r="G219" s="344" t="s">
        <v>2532</v>
      </c>
      <c r="H219" s="344" t="s">
        <v>669</v>
      </c>
      <c r="I219" s="337" t="s">
        <v>786</v>
      </c>
      <c r="J219" s="337" t="s">
        <v>1567</v>
      </c>
      <c r="K219" s="350">
        <v>0</v>
      </c>
      <c r="L219" s="350">
        <v>0</v>
      </c>
    </row>
    <row r="220" spans="1:12">
      <c r="A220" s="153">
        <v>305</v>
      </c>
      <c r="B220" s="337">
        <v>100</v>
      </c>
      <c r="C220" s="337">
        <v>500</v>
      </c>
      <c r="D220" s="152">
        <v>400</v>
      </c>
      <c r="E220" s="152">
        <v>0</v>
      </c>
      <c r="F220" s="337">
        <v>0</v>
      </c>
      <c r="G220" s="344" t="s">
        <v>2533</v>
      </c>
      <c r="H220" s="344" t="s">
        <v>692</v>
      </c>
      <c r="I220" s="337" t="s">
        <v>787</v>
      </c>
      <c r="J220" s="337"/>
      <c r="K220" s="350">
        <v>0</v>
      </c>
      <c r="L220" s="350">
        <v>0</v>
      </c>
    </row>
    <row r="221" spans="1:12" ht="25.5">
      <c r="A221" s="153">
        <v>305</v>
      </c>
      <c r="B221" s="337">
        <v>100</v>
      </c>
      <c r="C221" s="337">
        <v>500</v>
      </c>
      <c r="D221" s="152">
        <v>500</v>
      </c>
      <c r="E221" s="152">
        <v>0</v>
      </c>
      <c r="F221" s="337">
        <v>0</v>
      </c>
      <c r="G221" s="344" t="s">
        <v>2534</v>
      </c>
      <c r="H221" s="344" t="s">
        <v>710</v>
      </c>
      <c r="I221" s="337" t="s">
        <v>788</v>
      </c>
      <c r="J221" s="337"/>
      <c r="K221" s="350">
        <v>0</v>
      </c>
      <c r="L221" s="350">
        <v>0</v>
      </c>
    </row>
    <row r="222" spans="1:12">
      <c r="A222" s="153">
        <v>305</v>
      </c>
      <c r="B222" s="337">
        <v>100</v>
      </c>
      <c r="C222" s="337">
        <v>550</v>
      </c>
      <c r="D222" s="337">
        <v>0</v>
      </c>
      <c r="E222" s="337">
        <v>0</v>
      </c>
      <c r="F222" s="337">
        <v>0</v>
      </c>
      <c r="G222" s="345" t="s">
        <v>2535</v>
      </c>
      <c r="H222" s="345" t="s">
        <v>789</v>
      </c>
      <c r="I222" s="337" t="s">
        <v>790</v>
      </c>
      <c r="J222" s="336"/>
      <c r="K222" s="351">
        <v>0</v>
      </c>
      <c r="L222" s="351">
        <v>0</v>
      </c>
    </row>
    <row r="223" spans="1:12" ht="25.5">
      <c r="A223" s="153">
        <v>305</v>
      </c>
      <c r="B223" s="337">
        <v>100</v>
      </c>
      <c r="C223" s="337">
        <v>550</v>
      </c>
      <c r="D223" s="337">
        <v>100</v>
      </c>
      <c r="E223" s="152">
        <v>0</v>
      </c>
      <c r="F223" s="152">
        <v>0</v>
      </c>
      <c r="G223" s="344" t="s">
        <v>2536</v>
      </c>
      <c r="H223" s="344" t="s">
        <v>658</v>
      </c>
      <c r="I223" s="346" t="s">
        <v>791</v>
      </c>
      <c r="J223" s="346" t="s">
        <v>1522</v>
      </c>
      <c r="K223" s="350">
        <v>0</v>
      </c>
      <c r="L223" s="350">
        <v>0</v>
      </c>
    </row>
    <row r="224" spans="1:12">
      <c r="A224" s="153">
        <v>305</v>
      </c>
      <c r="B224" s="337">
        <v>100</v>
      </c>
      <c r="C224" s="337">
        <v>550</v>
      </c>
      <c r="D224" s="152">
        <v>200</v>
      </c>
      <c r="E224" s="152">
        <v>0</v>
      </c>
      <c r="F224" s="337">
        <v>0</v>
      </c>
      <c r="G224" s="344" t="s">
        <v>2537</v>
      </c>
      <c r="H224" s="344" t="s">
        <v>679</v>
      </c>
      <c r="I224" s="337" t="s">
        <v>792</v>
      </c>
      <c r="J224" s="337"/>
      <c r="K224" s="350">
        <v>0</v>
      </c>
      <c r="L224" s="350">
        <v>0</v>
      </c>
    </row>
    <row r="225" spans="1:12">
      <c r="A225" s="153">
        <v>305</v>
      </c>
      <c r="B225" s="337">
        <v>100</v>
      </c>
      <c r="C225" s="337">
        <v>550</v>
      </c>
      <c r="D225" s="152">
        <v>300</v>
      </c>
      <c r="E225" s="152">
        <v>0</v>
      </c>
      <c r="F225" s="337">
        <v>0</v>
      </c>
      <c r="G225" s="344" t="s">
        <v>2538</v>
      </c>
      <c r="H225" s="344" t="s">
        <v>669</v>
      </c>
      <c r="I225" s="337" t="s">
        <v>793</v>
      </c>
      <c r="J225" s="337" t="s">
        <v>1567</v>
      </c>
      <c r="K225" s="350">
        <v>0</v>
      </c>
      <c r="L225" s="350">
        <v>0</v>
      </c>
    </row>
    <row r="226" spans="1:12">
      <c r="A226" s="153">
        <v>305</v>
      </c>
      <c r="B226" s="337">
        <v>100</v>
      </c>
      <c r="C226" s="337">
        <v>550</v>
      </c>
      <c r="D226" s="337">
        <v>400</v>
      </c>
      <c r="E226" s="337">
        <v>0</v>
      </c>
      <c r="F226" s="337">
        <v>0</v>
      </c>
      <c r="G226" s="345" t="s">
        <v>2539</v>
      </c>
      <c r="H226" s="345" t="s">
        <v>692</v>
      </c>
      <c r="I226" s="337" t="s">
        <v>794</v>
      </c>
      <c r="J226" s="336"/>
      <c r="K226" s="351">
        <v>0</v>
      </c>
      <c r="L226" s="351">
        <v>0</v>
      </c>
    </row>
    <row r="227" spans="1:12">
      <c r="A227" s="153">
        <v>305</v>
      </c>
      <c r="B227" s="337">
        <v>100</v>
      </c>
      <c r="C227" s="337">
        <v>550</v>
      </c>
      <c r="D227" s="337">
        <v>400</v>
      </c>
      <c r="E227" s="152">
        <v>10</v>
      </c>
      <c r="F227" s="154">
        <v>0</v>
      </c>
      <c r="G227" s="344" t="s">
        <v>2540</v>
      </c>
      <c r="H227" s="344" t="s">
        <v>795</v>
      </c>
      <c r="I227" s="337"/>
      <c r="J227" s="337"/>
      <c r="K227" s="350">
        <v>0</v>
      </c>
      <c r="L227" s="350">
        <v>0</v>
      </c>
    </row>
    <row r="228" spans="1:12">
      <c r="A228" s="153">
        <v>305</v>
      </c>
      <c r="B228" s="337">
        <v>100</v>
      </c>
      <c r="C228" s="337">
        <v>550</v>
      </c>
      <c r="D228" s="337">
        <v>400</v>
      </c>
      <c r="E228" s="152">
        <v>20</v>
      </c>
      <c r="F228" s="154">
        <v>0</v>
      </c>
      <c r="G228" s="344" t="s">
        <v>2541</v>
      </c>
      <c r="H228" s="344" t="s">
        <v>796</v>
      </c>
      <c r="I228" s="337"/>
      <c r="J228" s="337"/>
      <c r="K228" s="350">
        <v>104616.94</v>
      </c>
      <c r="L228" s="350">
        <v>104610.98</v>
      </c>
    </row>
    <row r="229" spans="1:12">
      <c r="A229" s="153">
        <v>305</v>
      </c>
      <c r="B229" s="337">
        <v>100</v>
      </c>
      <c r="C229" s="337">
        <v>550</v>
      </c>
      <c r="D229" s="337">
        <v>400</v>
      </c>
      <c r="E229" s="152">
        <v>30</v>
      </c>
      <c r="F229" s="154">
        <v>0</v>
      </c>
      <c r="G229" s="344" t="s">
        <v>2542</v>
      </c>
      <c r="H229" s="344" t="s">
        <v>797</v>
      </c>
      <c r="I229" s="337"/>
      <c r="J229" s="337"/>
      <c r="K229" s="350">
        <v>0</v>
      </c>
      <c r="L229" s="350">
        <v>0</v>
      </c>
    </row>
    <row r="230" spans="1:12">
      <c r="A230" s="153">
        <v>305</v>
      </c>
      <c r="B230" s="337">
        <v>100</v>
      </c>
      <c r="C230" s="337">
        <v>550</v>
      </c>
      <c r="D230" s="337">
        <v>400</v>
      </c>
      <c r="E230" s="152">
        <v>40</v>
      </c>
      <c r="F230" s="154">
        <v>0</v>
      </c>
      <c r="G230" s="344" t="s">
        <v>2543</v>
      </c>
      <c r="H230" s="344" t="s">
        <v>798</v>
      </c>
      <c r="I230" s="337"/>
      <c r="J230" s="337"/>
      <c r="K230" s="350">
        <v>0</v>
      </c>
      <c r="L230" s="350">
        <v>0</v>
      </c>
    </row>
    <row r="231" spans="1:12">
      <c r="A231" s="153">
        <v>305</v>
      </c>
      <c r="B231" s="337">
        <v>100</v>
      </c>
      <c r="C231" s="337">
        <v>600</v>
      </c>
      <c r="D231" s="337">
        <v>0</v>
      </c>
      <c r="E231" s="337">
        <v>0</v>
      </c>
      <c r="F231" s="337">
        <v>0</v>
      </c>
      <c r="G231" s="345" t="s">
        <v>2544</v>
      </c>
      <c r="H231" s="345" t="s">
        <v>799</v>
      </c>
      <c r="I231" s="346" t="s">
        <v>800</v>
      </c>
      <c r="J231" s="348"/>
      <c r="K231" s="351">
        <v>0</v>
      </c>
      <c r="L231" s="351">
        <v>0</v>
      </c>
    </row>
    <row r="232" spans="1:12" ht="25.5">
      <c r="A232" s="153">
        <v>305</v>
      </c>
      <c r="B232" s="337">
        <v>100</v>
      </c>
      <c r="C232" s="337">
        <v>600</v>
      </c>
      <c r="D232" s="337">
        <v>100</v>
      </c>
      <c r="E232" s="152">
        <v>0</v>
      </c>
      <c r="F232" s="152">
        <v>0</v>
      </c>
      <c r="G232" s="345" t="s">
        <v>2545</v>
      </c>
      <c r="H232" s="345" t="s">
        <v>658</v>
      </c>
      <c r="I232" s="346" t="s">
        <v>801</v>
      </c>
      <c r="J232" s="348" t="s">
        <v>1522</v>
      </c>
      <c r="K232" s="351"/>
      <c r="L232" s="351"/>
    </row>
    <row r="233" spans="1:12">
      <c r="A233" s="153">
        <v>305</v>
      </c>
      <c r="B233" s="337">
        <v>100</v>
      </c>
      <c r="C233" s="337">
        <v>600</v>
      </c>
      <c r="D233" s="337">
        <v>100</v>
      </c>
      <c r="E233" s="152">
        <v>10</v>
      </c>
      <c r="F233" s="152">
        <v>0</v>
      </c>
      <c r="G233" s="344" t="s">
        <v>2546</v>
      </c>
      <c r="H233" s="344" t="s">
        <v>802</v>
      </c>
      <c r="I233" s="346" t="s">
        <v>803</v>
      </c>
      <c r="J233" s="348" t="s">
        <v>1522</v>
      </c>
      <c r="K233" s="352">
        <v>0</v>
      </c>
      <c r="L233" s="352">
        <v>0</v>
      </c>
    </row>
    <row r="234" spans="1:12">
      <c r="A234" s="153">
        <v>305</v>
      </c>
      <c r="B234" s="337">
        <v>100</v>
      </c>
      <c r="C234" s="337">
        <v>600</v>
      </c>
      <c r="D234" s="337">
        <v>100</v>
      </c>
      <c r="E234" s="152">
        <v>20</v>
      </c>
      <c r="F234" s="152">
        <v>0</v>
      </c>
      <c r="G234" s="344" t="s">
        <v>2547</v>
      </c>
      <c r="H234" s="344" t="s">
        <v>804</v>
      </c>
      <c r="I234" s="346" t="s">
        <v>805</v>
      </c>
      <c r="J234" s="348" t="s">
        <v>1522</v>
      </c>
      <c r="K234" s="352">
        <v>0</v>
      </c>
      <c r="L234" s="352">
        <v>0</v>
      </c>
    </row>
    <row r="235" spans="1:12">
      <c r="A235" s="153">
        <v>305</v>
      </c>
      <c r="B235" s="337">
        <v>100</v>
      </c>
      <c r="C235" s="337">
        <v>600</v>
      </c>
      <c r="D235" s="337">
        <v>200</v>
      </c>
      <c r="E235" s="337">
        <v>0</v>
      </c>
      <c r="F235" s="337">
        <v>0</v>
      </c>
      <c r="G235" s="356" t="s">
        <v>2548</v>
      </c>
      <c r="H235" s="356" t="s">
        <v>806</v>
      </c>
      <c r="I235" s="337" t="s">
        <v>807</v>
      </c>
      <c r="J235" s="336"/>
      <c r="K235" s="351">
        <v>0</v>
      </c>
      <c r="L235" s="351">
        <v>0</v>
      </c>
    </row>
    <row r="236" spans="1:12">
      <c r="A236" s="153">
        <v>305</v>
      </c>
      <c r="B236" s="337">
        <v>100</v>
      </c>
      <c r="C236" s="337">
        <v>600</v>
      </c>
      <c r="D236" s="337">
        <v>200</v>
      </c>
      <c r="E236" s="152">
        <v>10</v>
      </c>
      <c r="F236" s="154">
        <v>0</v>
      </c>
      <c r="G236" s="344" t="s">
        <v>2549</v>
      </c>
      <c r="H236" s="344" t="s">
        <v>808</v>
      </c>
      <c r="I236" s="337"/>
      <c r="J236" s="337"/>
      <c r="K236" s="350">
        <v>0</v>
      </c>
      <c r="L236" s="350">
        <v>0</v>
      </c>
    </row>
    <row r="237" spans="1:12" ht="25.5">
      <c r="A237" s="153">
        <v>305</v>
      </c>
      <c r="B237" s="337">
        <v>100</v>
      </c>
      <c r="C237" s="337">
        <v>600</v>
      </c>
      <c r="D237" s="337">
        <v>200</v>
      </c>
      <c r="E237" s="152">
        <v>20</v>
      </c>
      <c r="F237" s="154">
        <v>0</v>
      </c>
      <c r="G237" s="344" t="s">
        <v>2550</v>
      </c>
      <c r="H237" s="344" t="s">
        <v>809</v>
      </c>
      <c r="I237" s="337"/>
      <c r="J237" s="337"/>
      <c r="K237" s="350">
        <v>0</v>
      </c>
      <c r="L237" s="350">
        <v>0</v>
      </c>
    </row>
    <row r="238" spans="1:12">
      <c r="A238" s="153">
        <v>305</v>
      </c>
      <c r="B238" s="337">
        <v>100</v>
      </c>
      <c r="C238" s="337">
        <v>600</v>
      </c>
      <c r="D238" s="337">
        <v>200</v>
      </c>
      <c r="E238" s="152">
        <v>30</v>
      </c>
      <c r="F238" s="154">
        <v>0</v>
      </c>
      <c r="G238" s="344" t="s">
        <v>2551</v>
      </c>
      <c r="H238" s="344" t="s">
        <v>810</v>
      </c>
      <c r="I238" s="337"/>
      <c r="J238" s="337"/>
      <c r="K238" s="350">
        <v>0</v>
      </c>
      <c r="L238" s="350">
        <v>0</v>
      </c>
    </row>
    <row r="239" spans="1:12" ht="25.5">
      <c r="A239" s="153">
        <v>305</v>
      </c>
      <c r="B239" s="337">
        <v>100</v>
      </c>
      <c r="C239" s="337">
        <v>600</v>
      </c>
      <c r="D239" s="337">
        <v>200</v>
      </c>
      <c r="E239" s="152">
        <v>90</v>
      </c>
      <c r="F239" s="154">
        <v>0</v>
      </c>
      <c r="G239" s="344" t="s">
        <v>2552</v>
      </c>
      <c r="H239" s="344" t="s">
        <v>811</v>
      </c>
      <c r="I239" s="337"/>
      <c r="J239" s="337"/>
      <c r="K239" s="350">
        <v>0</v>
      </c>
      <c r="L239" s="350">
        <v>0</v>
      </c>
    </row>
    <row r="240" spans="1:12" ht="38.25">
      <c r="A240" s="153">
        <v>305</v>
      </c>
      <c r="B240" s="337">
        <v>100</v>
      </c>
      <c r="C240" s="337">
        <v>600</v>
      </c>
      <c r="D240" s="337">
        <v>250</v>
      </c>
      <c r="E240" s="152">
        <v>0</v>
      </c>
      <c r="F240" s="154">
        <v>0</v>
      </c>
      <c r="G240" s="344" t="s">
        <v>2553</v>
      </c>
      <c r="H240" s="344" t="s">
        <v>812</v>
      </c>
      <c r="I240" s="337" t="s">
        <v>813</v>
      </c>
      <c r="J240" s="337" t="s">
        <v>1567</v>
      </c>
      <c r="K240" s="350">
        <v>0</v>
      </c>
      <c r="L240" s="350">
        <v>0</v>
      </c>
    </row>
    <row r="241" spans="1:12" ht="25.5">
      <c r="A241" s="153">
        <v>305</v>
      </c>
      <c r="B241" s="337">
        <v>100</v>
      </c>
      <c r="C241" s="337">
        <v>600</v>
      </c>
      <c r="D241" s="152">
        <v>300</v>
      </c>
      <c r="E241" s="152">
        <v>0</v>
      </c>
      <c r="F241" s="337">
        <v>0</v>
      </c>
      <c r="G241" s="344" t="s">
        <v>2554</v>
      </c>
      <c r="H241" s="344" t="s">
        <v>814</v>
      </c>
      <c r="I241" s="337" t="s">
        <v>815</v>
      </c>
      <c r="J241" s="337" t="s">
        <v>1571</v>
      </c>
      <c r="K241" s="350">
        <v>521160.59</v>
      </c>
      <c r="L241" s="350">
        <v>525883.79</v>
      </c>
    </row>
    <row r="242" spans="1:12" ht="25.5">
      <c r="A242" s="153">
        <v>305</v>
      </c>
      <c r="B242" s="337">
        <v>100</v>
      </c>
      <c r="C242" s="337">
        <v>600</v>
      </c>
      <c r="D242" s="337">
        <v>310</v>
      </c>
      <c r="E242" s="152">
        <v>0</v>
      </c>
      <c r="F242" s="337">
        <v>0</v>
      </c>
      <c r="G242" s="344" t="s">
        <v>2451</v>
      </c>
      <c r="H242" s="344" t="s">
        <v>685</v>
      </c>
      <c r="I242" s="337" t="s">
        <v>815</v>
      </c>
      <c r="J242" s="337" t="s">
        <v>1567</v>
      </c>
      <c r="K242" s="350">
        <v>0</v>
      </c>
      <c r="L242" s="350">
        <v>0</v>
      </c>
    </row>
    <row r="243" spans="1:12" ht="25.5">
      <c r="A243" s="153">
        <v>305</v>
      </c>
      <c r="B243" s="337">
        <v>100</v>
      </c>
      <c r="C243" s="337">
        <v>600</v>
      </c>
      <c r="D243" s="337">
        <v>320</v>
      </c>
      <c r="E243" s="152">
        <v>0</v>
      </c>
      <c r="F243" s="337">
        <v>0</v>
      </c>
      <c r="G243" s="344" t="s">
        <v>2505</v>
      </c>
      <c r="H243" s="344" t="s">
        <v>753</v>
      </c>
      <c r="I243" s="337" t="s">
        <v>815</v>
      </c>
      <c r="J243" s="337" t="s">
        <v>1567</v>
      </c>
      <c r="K243" s="350">
        <v>0</v>
      </c>
      <c r="L243" s="350">
        <v>0</v>
      </c>
    </row>
    <row r="244" spans="1:12">
      <c r="A244" s="153">
        <v>305</v>
      </c>
      <c r="B244" s="337">
        <v>100</v>
      </c>
      <c r="C244" s="337">
        <v>600</v>
      </c>
      <c r="D244" s="337">
        <v>400</v>
      </c>
      <c r="E244" s="337">
        <v>0</v>
      </c>
      <c r="F244" s="337">
        <v>0</v>
      </c>
      <c r="G244" s="356" t="s">
        <v>2555</v>
      </c>
      <c r="H244" s="356" t="s">
        <v>720</v>
      </c>
      <c r="I244" s="337" t="s">
        <v>816</v>
      </c>
      <c r="J244" s="336"/>
      <c r="K244" s="351">
        <v>0</v>
      </c>
      <c r="L244" s="351">
        <v>0</v>
      </c>
    </row>
    <row r="245" spans="1:12">
      <c r="A245" s="153">
        <v>305</v>
      </c>
      <c r="B245" s="337">
        <v>100</v>
      </c>
      <c r="C245" s="337">
        <v>600</v>
      </c>
      <c r="D245" s="337">
        <v>400</v>
      </c>
      <c r="E245" s="152">
        <v>10</v>
      </c>
      <c r="F245" s="154">
        <v>0</v>
      </c>
      <c r="G245" s="344" t="s">
        <v>2556</v>
      </c>
      <c r="H245" s="344" t="s">
        <v>817</v>
      </c>
      <c r="I245" s="337"/>
      <c r="J245" s="337"/>
      <c r="K245" s="350"/>
      <c r="L245" s="350"/>
    </row>
    <row r="246" spans="1:12">
      <c r="A246" s="153">
        <v>305</v>
      </c>
      <c r="B246" s="337">
        <v>100</v>
      </c>
      <c r="C246" s="337">
        <v>600</v>
      </c>
      <c r="D246" s="337">
        <v>400</v>
      </c>
      <c r="E246" s="152">
        <v>20</v>
      </c>
      <c r="F246" s="154">
        <v>0</v>
      </c>
      <c r="G246" s="344" t="s">
        <v>2557</v>
      </c>
      <c r="H246" s="344" t="s">
        <v>818</v>
      </c>
      <c r="I246" s="337"/>
      <c r="J246" s="337"/>
      <c r="K246" s="350">
        <v>0</v>
      </c>
      <c r="L246" s="350">
        <v>0</v>
      </c>
    </row>
    <row r="247" spans="1:12">
      <c r="A247" s="153">
        <v>305</v>
      </c>
      <c r="B247" s="337">
        <v>100</v>
      </c>
      <c r="C247" s="337">
        <v>600</v>
      </c>
      <c r="D247" s="337">
        <v>400</v>
      </c>
      <c r="E247" s="152">
        <v>30</v>
      </c>
      <c r="F247" s="154">
        <v>0</v>
      </c>
      <c r="G247" s="344" t="s">
        <v>2558</v>
      </c>
      <c r="H247" s="344" t="s">
        <v>808</v>
      </c>
      <c r="I247" s="337"/>
      <c r="J247" s="337"/>
      <c r="K247" s="350">
        <v>0</v>
      </c>
      <c r="L247" s="350">
        <v>0</v>
      </c>
    </row>
    <row r="248" spans="1:12" ht="25.5">
      <c r="A248" s="153">
        <v>305</v>
      </c>
      <c r="B248" s="337">
        <v>100</v>
      </c>
      <c r="C248" s="337">
        <v>600</v>
      </c>
      <c r="D248" s="337">
        <v>400</v>
      </c>
      <c r="E248" s="152">
        <v>40</v>
      </c>
      <c r="F248" s="154">
        <v>0</v>
      </c>
      <c r="G248" s="344" t="s">
        <v>2559</v>
      </c>
      <c r="H248" s="344" t="s">
        <v>809</v>
      </c>
      <c r="I248" s="337"/>
      <c r="J248" s="337"/>
      <c r="K248" s="350">
        <v>0</v>
      </c>
      <c r="L248" s="350">
        <v>0</v>
      </c>
    </row>
    <row r="249" spans="1:12">
      <c r="A249" s="153">
        <v>305</v>
      </c>
      <c r="B249" s="337">
        <v>100</v>
      </c>
      <c r="C249" s="337">
        <v>600</v>
      </c>
      <c r="D249" s="337">
        <v>400</v>
      </c>
      <c r="E249" s="152">
        <v>50</v>
      </c>
      <c r="F249" s="154">
        <v>0</v>
      </c>
      <c r="G249" s="344" t="s">
        <v>2560</v>
      </c>
      <c r="H249" s="344" t="s">
        <v>810</v>
      </c>
      <c r="I249" s="337"/>
      <c r="J249" s="337"/>
      <c r="K249" s="350">
        <v>0</v>
      </c>
      <c r="L249" s="350">
        <v>0</v>
      </c>
    </row>
    <row r="250" spans="1:12" ht="25.5">
      <c r="A250" s="153">
        <v>305</v>
      </c>
      <c r="B250" s="337">
        <v>100</v>
      </c>
      <c r="C250" s="337">
        <v>600</v>
      </c>
      <c r="D250" s="337">
        <v>400</v>
      </c>
      <c r="E250" s="152">
        <v>60</v>
      </c>
      <c r="F250" s="154">
        <v>0</v>
      </c>
      <c r="G250" s="344" t="s">
        <v>2561</v>
      </c>
      <c r="H250" s="344" t="s">
        <v>819</v>
      </c>
      <c r="I250" s="337"/>
      <c r="J250" s="337"/>
      <c r="K250" s="350">
        <v>0</v>
      </c>
      <c r="L250" s="350">
        <v>0</v>
      </c>
    </row>
    <row r="251" spans="1:12">
      <c r="A251" s="153">
        <v>305</v>
      </c>
      <c r="B251" s="337">
        <v>100</v>
      </c>
      <c r="C251" s="337">
        <v>600</v>
      </c>
      <c r="D251" s="337">
        <v>400</v>
      </c>
      <c r="E251" s="152">
        <v>70</v>
      </c>
      <c r="F251" s="154">
        <v>0</v>
      </c>
      <c r="G251" s="344" t="s">
        <v>2562</v>
      </c>
      <c r="H251" s="344" t="s">
        <v>820</v>
      </c>
      <c r="I251" s="337"/>
      <c r="J251" s="337"/>
      <c r="K251" s="350">
        <v>0</v>
      </c>
      <c r="L251" s="350">
        <v>0</v>
      </c>
    </row>
    <row r="252" spans="1:12">
      <c r="A252" s="153">
        <v>305</v>
      </c>
      <c r="B252" s="337">
        <v>100</v>
      </c>
      <c r="C252" s="337">
        <v>600</v>
      </c>
      <c r="D252" s="337">
        <v>400</v>
      </c>
      <c r="E252" s="152">
        <v>90</v>
      </c>
      <c r="F252" s="154">
        <v>0</v>
      </c>
      <c r="G252" s="344" t="s">
        <v>2563</v>
      </c>
      <c r="H252" s="344" t="s">
        <v>821</v>
      </c>
      <c r="I252" s="337"/>
      <c r="J252" s="337"/>
      <c r="K252" s="350">
        <v>0</v>
      </c>
      <c r="L252" s="350">
        <v>0</v>
      </c>
    </row>
    <row r="253" spans="1:12">
      <c r="A253" s="153">
        <v>305</v>
      </c>
      <c r="B253" s="337">
        <v>100</v>
      </c>
      <c r="C253" s="337">
        <v>600</v>
      </c>
      <c r="D253" s="337">
        <v>500</v>
      </c>
      <c r="E253" s="337">
        <v>0</v>
      </c>
      <c r="F253" s="337">
        <v>0</v>
      </c>
      <c r="G253" s="356" t="s">
        <v>2564</v>
      </c>
      <c r="H253" s="356" t="s">
        <v>724</v>
      </c>
      <c r="I253" s="337" t="s">
        <v>822</v>
      </c>
      <c r="J253" s="336"/>
      <c r="K253" s="351">
        <v>0</v>
      </c>
      <c r="L253" s="351">
        <v>0</v>
      </c>
    </row>
    <row r="254" spans="1:12" ht="25.5">
      <c r="A254" s="153">
        <v>305</v>
      </c>
      <c r="B254" s="337">
        <v>100</v>
      </c>
      <c r="C254" s="337">
        <v>600</v>
      </c>
      <c r="D254" s="337">
        <v>500</v>
      </c>
      <c r="E254" s="152">
        <v>10</v>
      </c>
      <c r="F254" s="154">
        <v>0</v>
      </c>
      <c r="G254" s="344" t="s">
        <v>2565</v>
      </c>
      <c r="H254" s="344" t="s">
        <v>819</v>
      </c>
      <c r="I254" s="337"/>
      <c r="J254" s="337"/>
      <c r="K254" s="350">
        <v>0</v>
      </c>
      <c r="L254" s="350">
        <v>0</v>
      </c>
    </row>
    <row r="255" spans="1:12">
      <c r="A255" s="153">
        <v>305</v>
      </c>
      <c r="B255" s="337">
        <v>100</v>
      </c>
      <c r="C255" s="337">
        <v>600</v>
      </c>
      <c r="D255" s="337">
        <v>500</v>
      </c>
      <c r="E255" s="152">
        <v>90</v>
      </c>
      <c r="F255" s="154">
        <v>0</v>
      </c>
      <c r="G255" s="344" t="s">
        <v>2566</v>
      </c>
      <c r="H255" s="344" t="s">
        <v>823</v>
      </c>
      <c r="I255" s="337"/>
      <c r="J255" s="337"/>
      <c r="K255" s="350">
        <v>0</v>
      </c>
      <c r="L255" s="350">
        <v>0</v>
      </c>
    </row>
    <row r="256" spans="1:12" ht="25.5">
      <c r="A256" s="153">
        <v>305</v>
      </c>
      <c r="B256" s="337">
        <v>100</v>
      </c>
      <c r="C256" s="337">
        <v>650</v>
      </c>
      <c r="D256" s="337">
        <v>0</v>
      </c>
      <c r="E256" s="337">
        <v>0</v>
      </c>
      <c r="F256" s="337">
        <v>0</v>
      </c>
      <c r="G256" s="345" t="s">
        <v>2567</v>
      </c>
      <c r="H256" s="345" t="s">
        <v>824</v>
      </c>
      <c r="I256" s="337" t="s">
        <v>825</v>
      </c>
      <c r="J256" s="336"/>
      <c r="K256" s="351">
        <v>0</v>
      </c>
      <c r="L256" s="351">
        <v>0</v>
      </c>
    </row>
    <row r="257" spans="1:12" ht="25.5">
      <c r="A257" s="153">
        <v>305</v>
      </c>
      <c r="B257" s="337">
        <v>100</v>
      </c>
      <c r="C257" s="337">
        <v>650</v>
      </c>
      <c r="D257" s="152">
        <v>100</v>
      </c>
      <c r="E257" s="152">
        <v>0</v>
      </c>
      <c r="F257" s="337">
        <v>0</v>
      </c>
      <c r="G257" s="344" t="s">
        <v>2568</v>
      </c>
      <c r="H257" s="344" t="s">
        <v>826</v>
      </c>
      <c r="I257" s="337" t="s">
        <v>827</v>
      </c>
      <c r="J257" s="337"/>
      <c r="K257" s="350">
        <v>80050</v>
      </c>
      <c r="L257" s="350">
        <v>110800</v>
      </c>
    </row>
    <row r="258" spans="1:12" ht="25.5">
      <c r="A258" s="153">
        <v>305</v>
      </c>
      <c r="B258" s="337">
        <v>100</v>
      </c>
      <c r="C258" s="337">
        <v>650</v>
      </c>
      <c r="D258" s="152">
        <v>200</v>
      </c>
      <c r="E258" s="152">
        <v>0</v>
      </c>
      <c r="F258" s="337">
        <v>0</v>
      </c>
      <c r="G258" s="344" t="s">
        <v>2569</v>
      </c>
      <c r="H258" s="344" t="s">
        <v>828</v>
      </c>
      <c r="I258" s="337" t="s">
        <v>829</v>
      </c>
      <c r="J258" s="337"/>
      <c r="K258" s="350">
        <v>608142.81999999995</v>
      </c>
      <c r="L258" s="350">
        <v>557992.57999999996</v>
      </c>
    </row>
    <row r="259" spans="1:12" ht="25.5">
      <c r="A259" s="153">
        <v>305</v>
      </c>
      <c r="B259" s="337">
        <v>100</v>
      </c>
      <c r="C259" s="337">
        <v>650</v>
      </c>
      <c r="D259" s="152">
        <v>300</v>
      </c>
      <c r="E259" s="152">
        <v>0</v>
      </c>
      <c r="F259" s="337">
        <v>0</v>
      </c>
      <c r="G259" s="344" t="s">
        <v>2570</v>
      </c>
      <c r="H259" s="344" t="s">
        <v>830</v>
      </c>
      <c r="I259" s="337" t="s">
        <v>831</v>
      </c>
      <c r="J259" s="337"/>
      <c r="K259" s="350">
        <v>0</v>
      </c>
      <c r="L259" s="350">
        <v>0</v>
      </c>
    </row>
    <row r="260" spans="1:12" ht="38.25">
      <c r="A260" s="153">
        <v>305</v>
      </c>
      <c r="B260" s="337">
        <v>100</v>
      </c>
      <c r="C260" s="337">
        <v>650</v>
      </c>
      <c r="D260" s="337">
        <v>400</v>
      </c>
      <c r="E260" s="337">
        <v>0</v>
      </c>
      <c r="F260" s="337">
        <v>0</v>
      </c>
      <c r="G260" s="345" t="s">
        <v>2571</v>
      </c>
      <c r="H260" s="345" t="s">
        <v>832</v>
      </c>
      <c r="I260" s="337" t="s">
        <v>833</v>
      </c>
      <c r="J260" s="336"/>
      <c r="K260" s="351">
        <v>0</v>
      </c>
      <c r="L260" s="351">
        <v>0</v>
      </c>
    </row>
    <row r="261" spans="1:12" ht="25.5">
      <c r="A261" s="153">
        <v>305</v>
      </c>
      <c r="B261" s="337">
        <v>100</v>
      </c>
      <c r="C261" s="337">
        <v>650</v>
      </c>
      <c r="D261" s="337">
        <v>400</v>
      </c>
      <c r="E261" s="152">
        <v>10</v>
      </c>
      <c r="F261" s="154">
        <v>0</v>
      </c>
      <c r="G261" s="344" t="s">
        <v>2572</v>
      </c>
      <c r="H261" s="344" t="s">
        <v>834</v>
      </c>
      <c r="I261" s="337"/>
      <c r="J261" s="337"/>
      <c r="K261" s="350">
        <v>186713.25</v>
      </c>
      <c r="L261" s="350">
        <v>91809.06</v>
      </c>
    </row>
    <row r="262" spans="1:12" ht="25.5">
      <c r="A262" s="153">
        <v>305</v>
      </c>
      <c r="B262" s="337">
        <v>100</v>
      </c>
      <c r="C262" s="337">
        <v>650</v>
      </c>
      <c r="D262" s="337">
        <v>400</v>
      </c>
      <c r="E262" s="152">
        <v>20</v>
      </c>
      <c r="F262" s="154">
        <v>0</v>
      </c>
      <c r="G262" s="344" t="s">
        <v>2573</v>
      </c>
      <c r="H262" s="344" t="s">
        <v>835</v>
      </c>
      <c r="I262" s="337"/>
      <c r="J262" s="337"/>
      <c r="K262" s="350">
        <v>0</v>
      </c>
      <c r="L262" s="350">
        <v>0</v>
      </c>
    </row>
    <row r="263" spans="1:12" ht="25.5">
      <c r="A263" s="153">
        <v>305</v>
      </c>
      <c r="B263" s="337">
        <v>100</v>
      </c>
      <c r="C263" s="337">
        <v>650</v>
      </c>
      <c r="D263" s="337">
        <v>400</v>
      </c>
      <c r="E263" s="152">
        <v>30</v>
      </c>
      <c r="F263" s="154">
        <v>0</v>
      </c>
      <c r="G263" s="344" t="s">
        <v>2574</v>
      </c>
      <c r="H263" s="344" t="s">
        <v>836</v>
      </c>
      <c r="I263" s="337"/>
      <c r="J263" s="337"/>
      <c r="K263" s="350"/>
      <c r="L263" s="350"/>
    </row>
    <row r="264" spans="1:12" ht="25.5">
      <c r="A264" s="153">
        <v>305</v>
      </c>
      <c r="B264" s="337">
        <v>100</v>
      </c>
      <c r="C264" s="337">
        <v>650</v>
      </c>
      <c r="D264" s="337">
        <v>400</v>
      </c>
      <c r="E264" s="152">
        <v>90</v>
      </c>
      <c r="F264" s="154">
        <v>0</v>
      </c>
      <c r="G264" s="344" t="s">
        <v>2575</v>
      </c>
      <c r="H264" s="344" t="s">
        <v>837</v>
      </c>
      <c r="I264" s="337"/>
      <c r="J264" s="337"/>
      <c r="K264" s="350">
        <v>0</v>
      </c>
      <c r="L264" s="350">
        <v>0</v>
      </c>
    </row>
    <row r="265" spans="1:12" ht="51">
      <c r="A265" s="153">
        <v>305</v>
      </c>
      <c r="B265" s="337">
        <v>100</v>
      </c>
      <c r="C265" s="337">
        <v>650</v>
      </c>
      <c r="D265" s="337">
        <v>500</v>
      </c>
      <c r="E265" s="337">
        <v>0</v>
      </c>
      <c r="F265" s="337">
        <v>0</v>
      </c>
      <c r="G265" s="345" t="s">
        <v>2576</v>
      </c>
      <c r="H265" s="345" t="s">
        <v>838</v>
      </c>
      <c r="I265" s="337" t="s">
        <v>839</v>
      </c>
      <c r="J265" s="336" t="s">
        <v>1522</v>
      </c>
      <c r="K265" s="351">
        <v>0</v>
      </c>
      <c r="L265" s="351">
        <v>0</v>
      </c>
    </row>
    <row r="266" spans="1:12" ht="25.5">
      <c r="A266" s="153">
        <v>305</v>
      </c>
      <c r="B266" s="337">
        <v>100</v>
      </c>
      <c r="C266" s="337">
        <v>650</v>
      </c>
      <c r="D266" s="337">
        <v>500</v>
      </c>
      <c r="E266" s="152">
        <v>10</v>
      </c>
      <c r="F266" s="152">
        <v>0</v>
      </c>
      <c r="G266" s="344" t="s">
        <v>2577</v>
      </c>
      <c r="H266" s="344" t="s">
        <v>834</v>
      </c>
      <c r="I266" s="346"/>
      <c r="J266" s="346" t="s">
        <v>1522</v>
      </c>
      <c r="K266" s="350">
        <v>0</v>
      </c>
      <c r="L266" s="350">
        <v>0</v>
      </c>
    </row>
    <row r="267" spans="1:12" ht="25.5">
      <c r="A267" s="153">
        <v>305</v>
      </c>
      <c r="B267" s="337">
        <v>100</v>
      </c>
      <c r="C267" s="337">
        <v>650</v>
      </c>
      <c r="D267" s="337">
        <v>500</v>
      </c>
      <c r="E267" s="152">
        <v>20</v>
      </c>
      <c r="F267" s="152">
        <v>0</v>
      </c>
      <c r="G267" s="344" t="s">
        <v>2578</v>
      </c>
      <c r="H267" s="344" t="s">
        <v>835</v>
      </c>
      <c r="I267" s="346"/>
      <c r="J267" s="346" t="s">
        <v>1522</v>
      </c>
      <c r="K267" s="350">
        <v>0</v>
      </c>
      <c r="L267" s="350">
        <v>0</v>
      </c>
    </row>
    <row r="268" spans="1:12" ht="25.5">
      <c r="A268" s="153">
        <v>305</v>
      </c>
      <c r="B268" s="337">
        <v>100</v>
      </c>
      <c r="C268" s="337">
        <v>650</v>
      </c>
      <c r="D268" s="337">
        <v>500</v>
      </c>
      <c r="E268" s="152">
        <v>30</v>
      </c>
      <c r="F268" s="152">
        <v>0</v>
      </c>
      <c r="G268" s="344" t="s">
        <v>2579</v>
      </c>
      <c r="H268" s="344" t="s">
        <v>836</v>
      </c>
      <c r="I268" s="346"/>
      <c r="J268" s="346" t="s">
        <v>1522</v>
      </c>
      <c r="K268" s="350">
        <v>0</v>
      </c>
      <c r="L268" s="350">
        <v>0</v>
      </c>
    </row>
    <row r="269" spans="1:12" ht="25.5">
      <c r="A269" s="153">
        <v>305</v>
      </c>
      <c r="B269" s="337">
        <v>100</v>
      </c>
      <c r="C269" s="337">
        <v>650</v>
      </c>
      <c r="D269" s="337">
        <v>500</v>
      </c>
      <c r="E269" s="152">
        <v>90</v>
      </c>
      <c r="F269" s="152">
        <v>0</v>
      </c>
      <c r="G269" s="344" t="s">
        <v>2580</v>
      </c>
      <c r="H269" s="344" t="s">
        <v>837</v>
      </c>
      <c r="I269" s="346"/>
      <c r="J269" s="346" t="s">
        <v>1522</v>
      </c>
      <c r="K269" s="350">
        <v>0</v>
      </c>
      <c r="L269" s="350">
        <v>0</v>
      </c>
    </row>
    <row r="270" spans="1:12" ht="25.5">
      <c r="A270" s="153">
        <v>305</v>
      </c>
      <c r="B270" s="337">
        <v>100</v>
      </c>
      <c r="C270" s="337">
        <v>650</v>
      </c>
      <c r="D270" s="337">
        <v>600</v>
      </c>
      <c r="E270" s="337">
        <v>0</v>
      </c>
      <c r="F270" s="337">
        <v>0</v>
      </c>
      <c r="G270" s="345" t="s">
        <v>2581</v>
      </c>
      <c r="H270" s="345" t="s">
        <v>840</v>
      </c>
      <c r="I270" s="337" t="s">
        <v>841</v>
      </c>
      <c r="J270" s="336"/>
      <c r="K270" s="351">
        <v>0</v>
      </c>
      <c r="L270" s="351">
        <v>0</v>
      </c>
    </row>
    <row r="271" spans="1:12" ht="25.5">
      <c r="A271" s="153">
        <v>305</v>
      </c>
      <c r="B271" s="337">
        <v>100</v>
      </c>
      <c r="C271" s="337">
        <v>650</v>
      </c>
      <c r="D271" s="337">
        <v>600</v>
      </c>
      <c r="E271" s="152">
        <v>5</v>
      </c>
      <c r="F271" s="154">
        <v>0</v>
      </c>
      <c r="G271" s="344" t="s">
        <v>2582</v>
      </c>
      <c r="H271" s="344" t="s">
        <v>842</v>
      </c>
      <c r="I271" s="337"/>
      <c r="J271" s="337"/>
      <c r="K271" s="350">
        <v>0</v>
      </c>
      <c r="L271" s="350">
        <v>0</v>
      </c>
    </row>
    <row r="272" spans="1:12" ht="25.5">
      <c r="A272" s="153">
        <v>305</v>
      </c>
      <c r="B272" s="337">
        <v>100</v>
      </c>
      <c r="C272" s="337">
        <v>650</v>
      </c>
      <c r="D272" s="337">
        <v>600</v>
      </c>
      <c r="E272" s="152">
        <v>10</v>
      </c>
      <c r="F272" s="154">
        <v>0</v>
      </c>
      <c r="G272" s="344" t="s">
        <v>2583</v>
      </c>
      <c r="H272" s="344" t="s">
        <v>843</v>
      </c>
      <c r="I272" s="337"/>
      <c r="J272" s="337"/>
      <c r="K272" s="350">
        <v>0</v>
      </c>
      <c r="L272" s="350">
        <v>0</v>
      </c>
    </row>
    <row r="273" spans="1:12" ht="25.5">
      <c r="A273" s="153">
        <v>305</v>
      </c>
      <c r="B273" s="337">
        <v>100</v>
      </c>
      <c r="C273" s="337">
        <v>650</v>
      </c>
      <c r="D273" s="337">
        <v>600</v>
      </c>
      <c r="E273" s="152">
        <v>15</v>
      </c>
      <c r="F273" s="154">
        <v>0</v>
      </c>
      <c r="G273" s="344" t="s">
        <v>2584</v>
      </c>
      <c r="H273" s="344" t="s">
        <v>844</v>
      </c>
      <c r="I273" s="337"/>
      <c r="J273" s="337"/>
      <c r="K273" s="350">
        <v>0</v>
      </c>
      <c r="L273" s="350">
        <v>0</v>
      </c>
    </row>
    <row r="274" spans="1:12" ht="25.5">
      <c r="A274" s="153">
        <v>305</v>
      </c>
      <c r="B274" s="337">
        <v>100</v>
      </c>
      <c r="C274" s="337">
        <v>650</v>
      </c>
      <c r="D274" s="337">
        <v>600</v>
      </c>
      <c r="E274" s="152">
        <v>20</v>
      </c>
      <c r="F274" s="154">
        <v>0</v>
      </c>
      <c r="G274" s="344" t="s">
        <v>2585</v>
      </c>
      <c r="H274" s="344" t="s">
        <v>845</v>
      </c>
      <c r="I274" s="337"/>
      <c r="J274" s="337"/>
      <c r="K274" s="350">
        <v>7430.8</v>
      </c>
      <c r="L274" s="350">
        <v>10860</v>
      </c>
    </row>
    <row r="275" spans="1:12" ht="25.5">
      <c r="A275" s="153">
        <v>305</v>
      </c>
      <c r="B275" s="337">
        <v>100</v>
      </c>
      <c r="C275" s="337">
        <v>650</v>
      </c>
      <c r="D275" s="337">
        <v>600</v>
      </c>
      <c r="E275" s="152">
        <v>25</v>
      </c>
      <c r="F275" s="154">
        <v>0</v>
      </c>
      <c r="G275" s="344" t="s">
        <v>2586</v>
      </c>
      <c r="H275" s="344" t="s">
        <v>846</v>
      </c>
      <c r="I275" s="337"/>
      <c r="J275" s="337"/>
      <c r="K275" s="350">
        <v>0</v>
      </c>
      <c r="L275" s="350">
        <v>0</v>
      </c>
    </row>
    <row r="276" spans="1:12" ht="25.5">
      <c r="A276" s="153">
        <v>305</v>
      </c>
      <c r="B276" s="337">
        <v>100</v>
      </c>
      <c r="C276" s="337">
        <v>650</v>
      </c>
      <c r="D276" s="337">
        <v>600</v>
      </c>
      <c r="E276" s="152">
        <v>30</v>
      </c>
      <c r="F276" s="154">
        <v>0</v>
      </c>
      <c r="G276" s="344" t="s">
        <v>2587</v>
      </c>
      <c r="H276" s="344" t="s">
        <v>847</v>
      </c>
      <c r="I276" s="337"/>
      <c r="J276" s="337"/>
      <c r="K276" s="350"/>
      <c r="L276" s="350"/>
    </row>
    <row r="277" spans="1:12" ht="25.5">
      <c r="A277" s="153">
        <v>305</v>
      </c>
      <c r="B277" s="337">
        <v>100</v>
      </c>
      <c r="C277" s="337">
        <v>650</v>
      </c>
      <c r="D277" s="337">
        <v>600</v>
      </c>
      <c r="E277" s="152">
        <v>35</v>
      </c>
      <c r="F277" s="154">
        <v>0</v>
      </c>
      <c r="G277" s="344" t="s">
        <v>2588</v>
      </c>
      <c r="H277" s="344" t="s">
        <v>848</v>
      </c>
      <c r="I277" s="337"/>
      <c r="J277" s="337"/>
      <c r="K277" s="350">
        <v>0</v>
      </c>
      <c r="L277" s="350">
        <v>0</v>
      </c>
    </row>
    <row r="278" spans="1:12">
      <c r="A278" s="153">
        <v>305</v>
      </c>
      <c r="B278" s="337">
        <v>100</v>
      </c>
      <c r="C278" s="337">
        <v>650</v>
      </c>
      <c r="D278" s="337">
        <v>600</v>
      </c>
      <c r="E278" s="152">
        <v>40</v>
      </c>
      <c r="F278" s="154">
        <v>0</v>
      </c>
      <c r="G278" s="344" t="s">
        <v>2589</v>
      </c>
      <c r="H278" s="344" t="s">
        <v>849</v>
      </c>
      <c r="I278" s="337"/>
      <c r="J278" s="337"/>
      <c r="K278" s="350">
        <v>27741.49</v>
      </c>
      <c r="L278" s="350">
        <v>30693.67</v>
      </c>
    </row>
    <row r="279" spans="1:12">
      <c r="A279" s="153">
        <v>305</v>
      </c>
      <c r="B279" s="337">
        <v>100</v>
      </c>
      <c r="C279" s="337">
        <v>650</v>
      </c>
      <c r="D279" s="337">
        <v>600</v>
      </c>
      <c r="E279" s="152">
        <v>45</v>
      </c>
      <c r="F279" s="154">
        <v>0</v>
      </c>
      <c r="G279" s="344" t="s">
        <v>2590</v>
      </c>
      <c r="H279" s="344" t="s">
        <v>850</v>
      </c>
      <c r="I279" s="337"/>
      <c r="J279" s="337"/>
      <c r="K279" s="350">
        <v>43753.33</v>
      </c>
      <c r="L279" s="350">
        <v>38038.71</v>
      </c>
    </row>
    <row r="280" spans="1:12" ht="25.5">
      <c r="A280" s="153">
        <v>305</v>
      </c>
      <c r="B280" s="337">
        <v>100</v>
      </c>
      <c r="C280" s="337">
        <v>650</v>
      </c>
      <c r="D280" s="337">
        <v>600</v>
      </c>
      <c r="E280" s="152">
        <v>50</v>
      </c>
      <c r="F280" s="154">
        <v>0</v>
      </c>
      <c r="G280" s="344" t="s">
        <v>2591</v>
      </c>
      <c r="H280" s="344" t="s">
        <v>840</v>
      </c>
      <c r="I280" s="337"/>
      <c r="J280" s="337"/>
      <c r="K280" s="350"/>
      <c r="L280" s="350"/>
    </row>
    <row r="281" spans="1:12" ht="25.5">
      <c r="A281" s="153">
        <v>305</v>
      </c>
      <c r="B281" s="337">
        <v>100</v>
      </c>
      <c r="C281" s="337">
        <v>650</v>
      </c>
      <c r="D281" s="337">
        <v>600</v>
      </c>
      <c r="E281" s="152">
        <v>90</v>
      </c>
      <c r="F281" s="154">
        <v>0</v>
      </c>
      <c r="G281" s="344" t="s">
        <v>2592</v>
      </c>
      <c r="H281" s="344" t="s">
        <v>837</v>
      </c>
      <c r="I281" s="337"/>
      <c r="J281" s="337"/>
      <c r="K281" s="350"/>
      <c r="L281" s="350"/>
    </row>
    <row r="282" spans="1:12" ht="38.25">
      <c r="A282" s="153">
        <v>305</v>
      </c>
      <c r="B282" s="337">
        <v>100</v>
      </c>
      <c r="C282" s="337">
        <v>650</v>
      </c>
      <c r="D282" s="337">
        <v>700</v>
      </c>
      <c r="E282" s="337">
        <v>0</v>
      </c>
      <c r="F282" s="337">
        <v>0</v>
      </c>
      <c r="G282" s="345" t="s">
        <v>2593</v>
      </c>
      <c r="H282" s="345" t="s">
        <v>851</v>
      </c>
      <c r="I282" s="337" t="s">
        <v>852</v>
      </c>
      <c r="J282" s="336" t="s">
        <v>1522</v>
      </c>
      <c r="K282" s="351">
        <v>0</v>
      </c>
      <c r="L282" s="351">
        <v>0</v>
      </c>
    </row>
    <row r="283" spans="1:12" ht="25.5">
      <c r="A283" s="153">
        <v>305</v>
      </c>
      <c r="B283" s="337">
        <v>100</v>
      </c>
      <c r="C283" s="337">
        <v>650</v>
      </c>
      <c r="D283" s="337">
        <v>700</v>
      </c>
      <c r="E283" s="152">
        <v>5</v>
      </c>
      <c r="F283" s="152">
        <v>0</v>
      </c>
      <c r="G283" s="344" t="s">
        <v>2594</v>
      </c>
      <c r="H283" s="344" t="s">
        <v>842</v>
      </c>
      <c r="I283" s="346"/>
      <c r="J283" s="346" t="s">
        <v>1522</v>
      </c>
      <c r="K283" s="350">
        <v>0</v>
      </c>
      <c r="L283" s="350">
        <v>0</v>
      </c>
    </row>
    <row r="284" spans="1:12" ht="25.5">
      <c r="A284" s="153">
        <v>305</v>
      </c>
      <c r="B284" s="337">
        <v>100</v>
      </c>
      <c r="C284" s="337">
        <v>650</v>
      </c>
      <c r="D284" s="337">
        <v>700</v>
      </c>
      <c r="E284" s="152">
        <v>10</v>
      </c>
      <c r="F284" s="152">
        <v>0</v>
      </c>
      <c r="G284" s="344" t="s">
        <v>2595</v>
      </c>
      <c r="H284" s="344" t="s">
        <v>843</v>
      </c>
      <c r="I284" s="346"/>
      <c r="J284" s="346" t="s">
        <v>1522</v>
      </c>
      <c r="K284" s="350">
        <v>0</v>
      </c>
      <c r="L284" s="350">
        <v>0</v>
      </c>
    </row>
    <row r="285" spans="1:12" ht="25.5">
      <c r="A285" s="153">
        <v>305</v>
      </c>
      <c r="B285" s="337">
        <v>100</v>
      </c>
      <c r="C285" s="337">
        <v>650</v>
      </c>
      <c r="D285" s="337">
        <v>700</v>
      </c>
      <c r="E285" s="152">
        <v>15</v>
      </c>
      <c r="F285" s="152">
        <v>0</v>
      </c>
      <c r="G285" s="344" t="s">
        <v>2596</v>
      </c>
      <c r="H285" s="344" t="s">
        <v>844</v>
      </c>
      <c r="I285" s="346"/>
      <c r="J285" s="346" t="s">
        <v>1522</v>
      </c>
      <c r="K285" s="350">
        <v>0</v>
      </c>
      <c r="L285" s="350">
        <v>0</v>
      </c>
    </row>
    <row r="286" spans="1:12" ht="25.5">
      <c r="A286" s="153">
        <v>305</v>
      </c>
      <c r="B286" s="337">
        <v>100</v>
      </c>
      <c r="C286" s="337">
        <v>650</v>
      </c>
      <c r="D286" s="337">
        <v>700</v>
      </c>
      <c r="E286" s="152">
        <v>20</v>
      </c>
      <c r="F286" s="152">
        <v>0</v>
      </c>
      <c r="G286" s="344" t="s">
        <v>2597</v>
      </c>
      <c r="H286" s="344" t="s">
        <v>845</v>
      </c>
      <c r="I286" s="346"/>
      <c r="J286" s="346" t="s">
        <v>1522</v>
      </c>
      <c r="K286" s="350">
        <v>0</v>
      </c>
      <c r="L286" s="350">
        <v>0</v>
      </c>
    </row>
    <row r="287" spans="1:12" ht="25.5">
      <c r="A287" s="153">
        <v>305</v>
      </c>
      <c r="B287" s="337">
        <v>100</v>
      </c>
      <c r="C287" s="337">
        <v>650</v>
      </c>
      <c r="D287" s="337">
        <v>700</v>
      </c>
      <c r="E287" s="152">
        <v>25</v>
      </c>
      <c r="F287" s="152">
        <v>0</v>
      </c>
      <c r="G287" s="344" t="s">
        <v>2598</v>
      </c>
      <c r="H287" s="344" t="s">
        <v>846</v>
      </c>
      <c r="I287" s="346"/>
      <c r="J287" s="346" t="s">
        <v>1522</v>
      </c>
      <c r="K287" s="350">
        <v>0</v>
      </c>
      <c r="L287" s="350">
        <v>0</v>
      </c>
    </row>
    <row r="288" spans="1:12" ht="25.5">
      <c r="A288" s="153">
        <v>305</v>
      </c>
      <c r="B288" s="337">
        <v>100</v>
      </c>
      <c r="C288" s="337">
        <v>650</v>
      </c>
      <c r="D288" s="337">
        <v>700</v>
      </c>
      <c r="E288" s="152">
        <v>30</v>
      </c>
      <c r="F288" s="152">
        <v>0</v>
      </c>
      <c r="G288" s="344" t="s">
        <v>2599</v>
      </c>
      <c r="H288" s="344" t="s">
        <v>847</v>
      </c>
      <c r="I288" s="346"/>
      <c r="J288" s="346" t="s">
        <v>1522</v>
      </c>
      <c r="K288" s="350">
        <v>0</v>
      </c>
      <c r="L288" s="350">
        <v>0</v>
      </c>
    </row>
    <row r="289" spans="1:12" ht="25.5">
      <c r="A289" s="153">
        <v>305</v>
      </c>
      <c r="B289" s="337">
        <v>100</v>
      </c>
      <c r="C289" s="337">
        <v>650</v>
      </c>
      <c r="D289" s="337">
        <v>700</v>
      </c>
      <c r="E289" s="152">
        <v>35</v>
      </c>
      <c r="F289" s="152">
        <v>0</v>
      </c>
      <c r="G289" s="344" t="s">
        <v>2600</v>
      </c>
      <c r="H289" s="344" t="s">
        <v>848</v>
      </c>
      <c r="I289" s="346"/>
      <c r="J289" s="346" t="s">
        <v>1522</v>
      </c>
      <c r="K289" s="350">
        <v>0</v>
      </c>
      <c r="L289" s="350">
        <v>0</v>
      </c>
    </row>
    <row r="290" spans="1:12" ht="25.5">
      <c r="A290" s="153">
        <v>305</v>
      </c>
      <c r="B290" s="337">
        <v>100</v>
      </c>
      <c r="C290" s="337">
        <v>650</v>
      </c>
      <c r="D290" s="337">
        <v>700</v>
      </c>
      <c r="E290" s="152">
        <v>40</v>
      </c>
      <c r="F290" s="152">
        <v>0</v>
      </c>
      <c r="G290" s="344" t="s">
        <v>2601</v>
      </c>
      <c r="H290" s="344" t="s">
        <v>840</v>
      </c>
      <c r="I290" s="346"/>
      <c r="J290" s="346" t="s">
        <v>1522</v>
      </c>
      <c r="K290" s="350">
        <v>0</v>
      </c>
      <c r="L290" s="350">
        <v>0</v>
      </c>
    </row>
    <row r="291" spans="1:12" ht="25.5">
      <c r="A291" s="153">
        <v>305</v>
      </c>
      <c r="B291" s="337">
        <v>100</v>
      </c>
      <c r="C291" s="337">
        <v>650</v>
      </c>
      <c r="D291" s="337">
        <v>700</v>
      </c>
      <c r="E291" s="152">
        <v>90</v>
      </c>
      <c r="F291" s="152">
        <v>0</v>
      </c>
      <c r="G291" s="344" t="s">
        <v>2602</v>
      </c>
      <c r="H291" s="344" t="s">
        <v>837</v>
      </c>
      <c r="I291" s="346"/>
      <c r="J291" s="346" t="s">
        <v>1522</v>
      </c>
      <c r="K291" s="350">
        <v>0</v>
      </c>
      <c r="L291" s="350">
        <v>0</v>
      </c>
    </row>
    <row r="292" spans="1:12">
      <c r="A292" s="153">
        <v>305</v>
      </c>
      <c r="B292" s="337">
        <v>100</v>
      </c>
      <c r="C292" s="337">
        <v>700</v>
      </c>
      <c r="D292" s="337">
        <v>0</v>
      </c>
      <c r="E292" s="337">
        <v>0</v>
      </c>
      <c r="F292" s="337">
        <v>0</v>
      </c>
      <c r="G292" s="345" t="s">
        <v>2603</v>
      </c>
      <c r="H292" s="345" t="s">
        <v>853</v>
      </c>
      <c r="I292" s="337" t="s">
        <v>854</v>
      </c>
      <c r="J292" s="336"/>
      <c r="K292" s="351">
        <v>0</v>
      </c>
      <c r="L292" s="351">
        <v>0</v>
      </c>
    </row>
    <row r="293" spans="1:12">
      <c r="A293" s="153">
        <v>305</v>
      </c>
      <c r="B293" s="337">
        <v>100</v>
      </c>
      <c r="C293" s="337">
        <v>700</v>
      </c>
      <c r="D293" s="152">
        <v>100</v>
      </c>
      <c r="E293" s="152">
        <v>0</v>
      </c>
      <c r="F293" s="337">
        <v>0</v>
      </c>
      <c r="G293" s="344" t="s">
        <v>2604</v>
      </c>
      <c r="H293" s="344" t="s">
        <v>855</v>
      </c>
      <c r="I293" s="337" t="s">
        <v>856</v>
      </c>
      <c r="J293" s="337"/>
      <c r="K293" s="350">
        <v>0</v>
      </c>
      <c r="L293" s="350">
        <v>0</v>
      </c>
    </row>
    <row r="294" spans="1:12">
      <c r="A294" s="153">
        <v>305</v>
      </c>
      <c r="B294" s="337">
        <v>100</v>
      </c>
      <c r="C294" s="337">
        <v>700</v>
      </c>
      <c r="D294" s="152">
        <v>200</v>
      </c>
      <c r="E294" s="152">
        <v>0</v>
      </c>
      <c r="F294" s="337">
        <v>0</v>
      </c>
      <c r="G294" s="344" t="s">
        <v>2605</v>
      </c>
      <c r="H294" s="344" t="s">
        <v>857</v>
      </c>
      <c r="I294" s="337" t="s">
        <v>858</v>
      </c>
      <c r="J294" s="337"/>
      <c r="K294" s="350">
        <v>0</v>
      </c>
      <c r="L294" s="350">
        <v>0</v>
      </c>
    </row>
    <row r="295" spans="1:12" ht="25.5">
      <c r="A295" s="153">
        <v>305</v>
      </c>
      <c r="B295" s="337">
        <v>100</v>
      </c>
      <c r="C295" s="337">
        <v>700</v>
      </c>
      <c r="D295" s="152">
        <v>300</v>
      </c>
      <c r="E295" s="152">
        <v>0</v>
      </c>
      <c r="F295" s="337">
        <v>0</v>
      </c>
      <c r="G295" s="344" t="s">
        <v>2606</v>
      </c>
      <c r="H295" s="344" t="s">
        <v>859</v>
      </c>
      <c r="I295" s="337" t="s">
        <v>860</v>
      </c>
      <c r="J295" s="337"/>
      <c r="K295" s="350">
        <v>0</v>
      </c>
      <c r="L295" s="350">
        <v>0</v>
      </c>
    </row>
    <row r="296" spans="1:12">
      <c r="A296" s="153">
        <v>305</v>
      </c>
      <c r="B296" s="337">
        <v>100</v>
      </c>
      <c r="C296" s="337">
        <v>700</v>
      </c>
      <c r="D296" s="152">
        <v>400</v>
      </c>
      <c r="E296" s="152">
        <v>0</v>
      </c>
      <c r="F296" s="337">
        <v>0</v>
      </c>
      <c r="G296" s="344" t="s">
        <v>2607</v>
      </c>
      <c r="H296" s="344" t="s">
        <v>861</v>
      </c>
      <c r="I296" s="337" t="s">
        <v>862</v>
      </c>
      <c r="J296" s="337"/>
      <c r="K296" s="350">
        <v>0</v>
      </c>
      <c r="L296" s="350">
        <v>0</v>
      </c>
    </row>
    <row r="297" spans="1:12">
      <c r="A297" s="153">
        <v>305</v>
      </c>
      <c r="B297" s="337">
        <v>100</v>
      </c>
      <c r="C297" s="337">
        <v>700</v>
      </c>
      <c r="D297" s="337">
        <v>500</v>
      </c>
      <c r="E297" s="337">
        <v>0</v>
      </c>
      <c r="F297" s="337">
        <v>0</v>
      </c>
      <c r="G297" s="345" t="s">
        <v>2608</v>
      </c>
      <c r="H297" s="345" t="s">
        <v>863</v>
      </c>
      <c r="I297" s="337" t="s">
        <v>864</v>
      </c>
      <c r="J297" s="336"/>
      <c r="K297" s="351">
        <v>0</v>
      </c>
      <c r="L297" s="351">
        <v>0</v>
      </c>
    </row>
    <row r="298" spans="1:12">
      <c r="A298" s="153">
        <v>305</v>
      </c>
      <c r="B298" s="337">
        <v>100</v>
      </c>
      <c r="C298" s="337">
        <v>700</v>
      </c>
      <c r="D298" s="337">
        <v>500</v>
      </c>
      <c r="E298" s="152">
        <v>5</v>
      </c>
      <c r="F298" s="154">
        <v>0</v>
      </c>
      <c r="G298" s="344" t="s">
        <v>2609</v>
      </c>
      <c r="H298" s="344" t="s">
        <v>865</v>
      </c>
      <c r="I298" s="337"/>
      <c r="J298" s="337"/>
      <c r="K298" s="350">
        <v>0</v>
      </c>
      <c r="L298" s="350">
        <v>0</v>
      </c>
    </row>
    <row r="299" spans="1:12">
      <c r="A299" s="153">
        <v>305</v>
      </c>
      <c r="B299" s="337">
        <v>100</v>
      </c>
      <c r="C299" s="337">
        <v>700</v>
      </c>
      <c r="D299" s="337">
        <v>500</v>
      </c>
      <c r="E299" s="152">
        <v>10</v>
      </c>
      <c r="F299" s="154">
        <v>0</v>
      </c>
      <c r="G299" s="344" t="s">
        <v>2610</v>
      </c>
      <c r="H299" s="344" t="s">
        <v>866</v>
      </c>
      <c r="I299" s="337"/>
      <c r="J299" s="337"/>
      <c r="K299" s="350">
        <v>0</v>
      </c>
      <c r="L299" s="350">
        <v>0</v>
      </c>
    </row>
    <row r="300" spans="1:12">
      <c r="A300" s="153">
        <v>305</v>
      </c>
      <c r="B300" s="337">
        <v>100</v>
      </c>
      <c r="C300" s="337">
        <v>700</v>
      </c>
      <c r="D300" s="337">
        <v>500</v>
      </c>
      <c r="E300" s="152">
        <v>15</v>
      </c>
      <c r="F300" s="154">
        <v>0</v>
      </c>
      <c r="G300" s="344" t="s">
        <v>2611</v>
      </c>
      <c r="H300" s="344" t="s">
        <v>867</v>
      </c>
      <c r="I300" s="337"/>
      <c r="J300" s="337"/>
      <c r="K300" s="350">
        <v>0</v>
      </c>
      <c r="L300" s="350">
        <v>0</v>
      </c>
    </row>
    <row r="301" spans="1:12">
      <c r="A301" s="153">
        <v>305</v>
      </c>
      <c r="B301" s="337">
        <v>100</v>
      </c>
      <c r="C301" s="337">
        <v>700</v>
      </c>
      <c r="D301" s="337">
        <v>500</v>
      </c>
      <c r="E301" s="152">
        <v>20</v>
      </c>
      <c r="F301" s="337">
        <v>0</v>
      </c>
      <c r="G301" s="344" t="s">
        <v>2612</v>
      </c>
      <c r="H301" s="344" t="s">
        <v>868</v>
      </c>
      <c r="I301" s="337"/>
      <c r="J301" s="337"/>
      <c r="K301" s="350">
        <v>0</v>
      </c>
      <c r="L301" s="350">
        <v>0</v>
      </c>
    </row>
    <row r="302" spans="1:12">
      <c r="A302" s="153">
        <v>305</v>
      </c>
      <c r="B302" s="337">
        <v>100</v>
      </c>
      <c r="C302" s="337">
        <v>700</v>
      </c>
      <c r="D302" s="337">
        <v>500</v>
      </c>
      <c r="E302" s="152">
        <v>25</v>
      </c>
      <c r="F302" s="154">
        <v>0</v>
      </c>
      <c r="G302" s="344" t="s">
        <v>2613</v>
      </c>
      <c r="H302" s="344" t="s">
        <v>869</v>
      </c>
      <c r="I302" s="337"/>
      <c r="J302" s="337"/>
      <c r="K302" s="350">
        <v>0</v>
      </c>
      <c r="L302" s="350">
        <v>0</v>
      </c>
    </row>
    <row r="303" spans="1:12">
      <c r="A303" s="153">
        <v>305</v>
      </c>
      <c r="B303" s="337">
        <v>100</v>
      </c>
      <c r="C303" s="337">
        <v>700</v>
      </c>
      <c r="D303" s="337">
        <v>500</v>
      </c>
      <c r="E303" s="152">
        <v>30</v>
      </c>
      <c r="F303" s="154">
        <v>0</v>
      </c>
      <c r="G303" s="344" t="s">
        <v>2614</v>
      </c>
      <c r="H303" s="344" t="s">
        <v>870</v>
      </c>
      <c r="I303" s="337"/>
      <c r="J303" s="337"/>
      <c r="K303" s="350">
        <v>0</v>
      </c>
      <c r="L303" s="350">
        <v>0</v>
      </c>
    </row>
    <row r="304" spans="1:12">
      <c r="A304" s="153">
        <v>305</v>
      </c>
      <c r="B304" s="337">
        <v>100</v>
      </c>
      <c r="C304" s="337">
        <v>700</v>
      </c>
      <c r="D304" s="337">
        <v>500</v>
      </c>
      <c r="E304" s="152">
        <v>35</v>
      </c>
      <c r="F304" s="154">
        <v>0</v>
      </c>
      <c r="G304" s="344" t="s">
        <v>2615</v>
      </c>
      <c r="H304" s="344" t="s">
        <v>871</v>
      </c>
      <c r="I304" s="337"/>
      <c r="J304" s="337"/>
      <c r="K304" s="350">
        <v>1294179.8500000001</v>
      </c>
      <c r="L304" s="350">
        <v>308905.77</v>
      </c>
    </row>
    <row r="305" spans="1:12">
      <c r="A305" s="153">
        <v>305</v>
      </c>
      <c r="B305" s="337">
        <v>100</v>
      </c>
      <c r="C305" s="337">
        <v>700</v>
      </c>
      <c r="D305" s="337">
        <v>500</v>
      </c>
      <c r="E305" s="152">
        <v>40</v>
      </c>
      <c r="F305" s="154">
        <v>0</v>
      </c>
      <c r="G305" s="344" t="s">
        <v>2616</v>
      </c>
      <c r="H305" s="344" t="s">
        <v>872</v>
      </c>
      <c r="I305" s="337"/>
      <c r="J305" s="337"/>
      <c r="K305" s="350">
        <v>0</v>
      </c>
      <c r="L305" s="350">
        <v>0</v>
      </c>
    </row>
    <row r="306" spans="1:12">
      <c r="A306" s="153">
        <v>305</v>
      </c>
      <c r="B306" s="337">
        <v>100</v>
      </c>
      <c r="C306" s="337">
        <v>700</v>
      </c>
      <c r="D306" s="337">
        <v>500</v>
      </c>
      <c r="E306" s="152">
        <v>45</v>
      </c>
      <c r="F306" s="154">
        <v>0</v>
      </c>
      <c r="G306" s="344" t="s">
        <v>2617</v>
      </c>
      <c r="H306" s="344" t="s">
        <v>873</v>
      </c>
      <c r="I306" s="337"/>
      <c r="J306" s="337"/>
      <c r="K306" s="350"/>
      <c r="L306" s="350"/>
    </row>
    <row r="307" spans="1:12">
      <c r="A307" s="153">
        <v>305</v>
      </c>
      <c r="B307" s="337">
        <v>100</v>
      </c>
      <c r="C307" s="337">
        <v>700</v>
      </c>
      <c r="D307" s="337">
        <v>500</v>
      </c>
      <c r="E307" s="152">
        <v>90</v>
      </c>
      <c r="F307" s="337">
        <v>0</v>
      </c>
      <c r="G307" s="344" t="s">
        <v>2618</v>
      </c>
      <c r="H307" s="344" t="s">
        <v>863</v>
      </c>
      <c r="I307" s="337"/>
      <c r="J307" s="337"/>
      <c r="K307" s="350">
        <v>31865</v>
      </c>
      <c r="L307" s="350">
        <v>59460.24</v>
      </c>
    </row>
    <row r="308" spans="1:12" ht="25.5">
      <c r="A308" s="153">
        <v>305</v>
      </c>
      <c r="B308" s="337">
        <v>100</v>
      </c>
      <c r="C308" s="337">
        <v>700</v>
      </c>
      <c r="D308" s="337">
        <v>600</v>
      </c>
      <c r="E308" s="337">
        <v>0</v>
      </c>
      <c r="F308" s="337">
        <v>0</v>
      </c>
      <c r="G308" s="345" t="s">
        <v>2619</v>
      </c>
      <c r="H308" s="345" t="s">
        <v>874</v>
      </c>
      <c r="I308" s="337" t="s">
        <v>875</v>
      </c>
      <c r="J308" s="336" t="s">
        <v>1522</v>
      </c>
      <c r="K308" s="358">
        <v>0</v>
      </c>
      <c r="L308" s="358">
        <v>0</v>
      </c>
    </row>
    <row r="309" spans="1:12" ht="25.5">
      <c r="A309" s="153">
        <v>305</v>
      </c>
      <c r="B309" s="337">
        <v>100</v>
      </c>
      <c r="C309" s="337">
        <v>700</v>
      </c>
      <c r="D309" s="337">
        <v>600</v>
      </c>
      <c r="E309" s="152">
        <v>10</v>
      </c>
      <c r="F309" s="152">
        <v>0</v>
      </c>
      <c r="G309" s="344" t="s">
        <v>2620</v>
      </c>
      <c r="H309" s="344" t="s">
        <v>876</v>
      </c>
      <c r="I309" s="346"/>
      <c r="J309" s="346" t="s">
        <v>1522</v>
      </c>
      <c r="K309" s="350">
        <v>0</v>
      </c>
      <c r="L309" s="350">
        <v>0</v>
      </c>
    </row>
    <row r="310" spans="1:12" ht="25.5">
      <c r="A310" s="153">
        <v>305</v>
      </c>
      <c r="B310" s="337">
        <v>100</v>
      </c>
      <c r="C310" s="337">
        <v>700</v>
      </c>
      <c r="D310" s="337">
        <v>600</v>
      </c>
      <c r="E310" s="152">
        <v>90</v>
      </c>
      <c r="F310" s="152">
        <v>0</v>
      </c>
      <c r="G310" s="344" t="s">
        <v>2621</v>
      </c>
      <c r="H310" s="344" t="s">
        <v>877</v>
      </c>
      <c r="I310" s="346"/>
      <c r="J310" s="346" t="s">
        <v>1522</v>
      </c>
      <c r="K310" s="350">
        <v>1610932.46</v>
      </c>
      <c r="L310" s="350">
        <v>1330982.5900000001</v>
      </c>
    </row>
    <row r="311" spans="1:12">
      <c r="A311" s="153">
        <v>305</v>
      </c>
      <c r="B311" s="337">
        <v>100</v>
      </c>
      <c r="C311" s="337">
        <v>700</v>
      </c>
      <c r="D311" s="337">
        <v>700</v>
      </c>
      <c r="E311" s="152">
        <v>0</v>
      </c>
      <c r="F311" s="152">
        <v>0</v>
      </c>
      <c r="G311" s="344" t="s">
        <v>2622</v>
      </c>
      <c r="H311" s="344" t="s">
        <v>878</v>
      </c>
      <c r="I311" s="346" t="s">
        <v>879</v>
      </c>
      <c r="J311" s="348" t="s">
        <v>1522</v>
      </c>
      <c r="K311" s="352">
        <v>0</v>
      </c>
      <c r="L311" s="352">
        <v>0</v>
      </c>
    </row>
    <row r="312" spans="1:12" ht="25.5">
      <c r="A312" s="153">
        <v>305</v>
      </c>
      <c r="B312" s="337">
        <v>100</v>
      </c>
      <c r="C312" s="337">
        <v>750</v>
      </c>
      <c r="D312" s="337">
        <v>0</v>
      </c>
      <c r="E312" s="337">
        <v>0</v>
      </c>
      <c r="F312" s="337">
        <v>0</v>
      </c>
      <c r="G312" s="345" t="s">
        <v>2623</v>
      </c>
      <c r="H312" s="345" t="s">
        <v>880</v>
      </c>
      <c r="I312" s="346" t="s">
        <v>881</v>
      </c>
      <c r="J312" s="348"/>
      <c r="K312" s="351"/>
      <c r="L312" s="351"/>
    </row>
    <row r="313" spans="1:12" ht="25.5">
      <c r="A313" s="153">
        <v>305</v>
      </c>
      <c r="B313" s="337">
        <v>100</v>
      </c>
      <c r="C313" s="337">
        <v>750</v>
      </c>
      <c r="D313" s="337">
        <v>100</v>
      </c>
      <c r="E313" s="152">
        <v>0</v>
      </c>
      <c r="F313" s="152">
        <v>0</v>
      </c>
      <c r="G313" s="344" t="s">
        <v>2624</v>
      </c>
      <c r="H313" s="344" t="s">
        <v>882</v>
      </c>
      <c r="I313" s="346" t="s">
        <v>883</v>
      </c>
      <c r="J313" s="346" t="s">
        <v>1522</v>
      </c>
      <c r="K313" s="350">
        <v>130103.06</v>
      </c>
      <c r="L313" s="350">
        <v>96589.21</v>
      </c>
    </row>
    <row r="314" spans="1:12" ht="25.5">
      <c r="A314" s="153">
        <v>305</v>
      </c>
      <c r="B314" s="337">
        <v>100</v>
      </c>
      <c r="C314" s="337">
        <v>750</v>
      </c>
      <c r="D314" s="337">
        <v>200</v>
      </c>
      <c r="E314" s="152">
        <v>0</v>
      </c>
      <c r="F314" s="337">
        <v>0</v>
      </c>
      <c r="G314" s="344" t="s">
        <v>2625</v>
      </c>
      <c r="H314" s="344" t="s">
        <v>884</v>
      </c>
      <c r="I314" s="337" t="s">
        <v>885</v>
      </c>
      <c r="J314" s="337"/>
      <c r="K314" s="350">
        <v>1725.86</v>
      </c>
      <c r="L314" s="350">
        <v>2896.11</v>
      </c>
    </row>
    <row r="315" spans="1:12" ht="25.5">
      <c r="A315" s="153">
        <v>305</v>
      </c>
      <c r="B315" s="337">
        <v>100</v>
      </c>
      <c r="C315" s="337">
        <v>750</v>
      </c>
      <c r="D315" s="337">
        <v>300</v>
      </c>
      <c r="E315" s="337">
        <v>0</v>
      </c>
      <c r="F315" s="337">
        <v>0</v>
      </c>
      <c r="G315" s="345" t="s">
        <v>2626</v>
      </c>
      <c r="H315" s="345" t="s">
        <v>886</v>
      </c>
      <c r="I315" s="337" t="s">
        <v>887</v>
      </c>
      <c r="J315" s="336"/>
      <c r="K315" s="351"/>
      <c r="L315" s="351"/>
    </row>
    <row r="316" spans="1:12" ht="25.5">
      <c r="A316" s="153">
        <v>305</v>
      </c>
      <c r="B316" s="337">
        <v>100</v>
      </c>
      <c r="C316" s="337">
        <v>750</v>
      </c>
      <c r="D316" s="337">
        <v>300</v>
      </c>
      <c r="E316" s="152">
        <v>10</v>
      </c>
      <c r="F316" s="337">
        <v>0</v>
      </c>
      <c r="G316" s="344" t="s">
        <v>2627</v>
      </c>
      <c r="H316" s="344" t="s">
        <v>888</v>
      </c>
      <c r="I316" s="337" t="s">
        <v>889</v>
      </c>
      <c r="J316" s="337"/>
      <c r="K316" s="350">
        <v>49134.67</v>
      </c>
      <c r="L316" s="350">
        <v>44698.95</v>
      </c>
    </row>
    <row r="317" spans="1:12">
      <c r="A317" s="153">
        <v>305</v>
      </c>
      <c r="B317" s="337">
        <v>100</v>
      </c>
      <c r="C317" s="337">
        <v>750</v>
      </c>
      <c r="D317" s="337">
        <v>300</v>
      </c>
      <c r="E317" s="337">
        <v>20</v>
      </c>
      <c r="F317" s="337">
        <v>0</v>
      </c>
      <c r="G317" s="345" t="s">
        <v>2628</v>
      </c>
      <c r="H317" s="345" t="s">
        <v>890</v>
      </c>
      <c r="I317" s="337" t="s">
        <v>891</v>
      </c>
      <c r="J317" s="336"/>
      <c r="K317" s="351">
        <v>0</v>
      </c>
      <c r="L317" s="351">
        <v>0</v>
      </c>
    </row>
    <row r="318" spans="1:12" ht="25.5">
      <c r="A318" s="153">
        <v>305</v>
      </c>
      <c r="B318" s="337">
        <v>100</v>
      </c>
      <c r="C318" s="337">
        <v>750</v>
      </c>
      <c r="D318" s="337">
        <v>300</v>
      </c>
      <c r="E318" s="337">
        <v>20</v>
      </c>
      <c r="F318" s="152">
        <v>5</v>
      </c>
      <c r="G318" s="344" t="s">
        <v>2629</v>
      </c>
      <c r="H318" s="344" t="s">
        <v>892</v>
      </c>
      <c r="I318" s="337"/>
      <c r="J318" s="337"/>
      <c r="K318" s="350">
        <v>30902.51</v>
      </c>
      <c r="L318" s="350">
        <v>36204.160000000003</v>
      </c>
    </row>
    <row r="319" spans="1:12">
      <c r="A319" s="153">
        <v>305</v>
      </c>
      <c r="B319" s="337">
        <v>100</v>
      </c>
      <c r="C319" s="337">
        <v>750</v>
      </c>
      <c r="D319" s="337">
        <v>300</v>
      </c>
      <c r="E319" s="337">
        <v>20</v>
      </c>
      <c r="F319" s="152">
        <v>10</v>
      </c>
      <c r="G319" s="344" t="s">
        <v>2630</v>
      </c>
      <c r="H319" s="344" t="s">
        <v>893</v>
      </c>
      <c r="I319" s="337"/>
      <c r="J319" s="337"/>
      <c r="K319" s="350">
        <v>0</v>
      </c>
      <c r="L319" s="350">
        <v>0</v>
      </c>
    </row>
    <row r="320" spans="1:12" ht="25.5">
      <c r="A320" s="153">
        <v>305</v>
      </c>
      <c r="B320" s="337">
        <v>100</v>
      </c>
      <c r="C320" s="337">
        <v>750</v>
      </c>
      <c r="D320" s="337">
        <v>300</v>
      </c>
      <c r="E320" s="337">
        <v>20</v>
      </c>
      <c r="F320" s="152">
        <v>15</v>
      </c>
      <c r="G320" s="344" t="s">
        <v>2631</v>
      </c>
      <c r="H320" s="344" t="s">
        <v>894</v>
      </c>
      <c r="I320" s="337"/>
      <c r="J320" s="337"/>
      <c r="K320" s="350"/>
      <c r="L320" s="350"/>
    </row>
    <row r="321" spans="1:12" ht="25.5">
      <c r="A321" s="153">
        <v>305</v>
      </c>
      <c r="B321" s="337">
        <v>100</v>
      </c>
      <c r="C321" s="337">
        <v>750</v>
      </c>
      <c r="D321" s="337">
        <v>300</v>
      </c>
      <c r="E321" s="337">
        <v>30</v>
      </c>
      <c r="F321" s="337">
        <v>0</v>
      </c>
      <c r="G321" s="345" t="s">
        <v>2632</v>
      </c>
      <c r="H321" s="345" t="s">
        <v>895</v>
      </c>
      <c r="I321" s="337" t="s">
        <v>896</v>
      </c>
      <c r="J321" s="336"/>
      <c r="K321" s="351">
        <v>0</v>
      </c>
      <c r="L321" s="351">
        <v>0</v>
      </c>
    </row>
    <row r="322" spans="1:12" ht="25.5">
      <c r="A322" s="153">
        <v>305</v>
      </c>
      <c r="B322" s="337">
        <v>100</v>
      </c>
      <c r="C322" s="337">
        <v>750</v>
      </c>
      <c r="D322" s="337">
        <v>300</v>
      </c>
      <c r="E322" s="337">
        <v>30</v>
      </c>
      <c r="F322" s="152">
        <v>5</v>
      </c>
      <c r="G322" s="344" t="s">
        <v>2633</v>
      </c>
      <c r="H322" s="344" t="s">
        <v>897</v>
      </c>
      <c r="I322" s="337"/>
      <c r="J322" s="337"/>
      <c r="K322" s="350">
        <v>62976.74</v>
      </c>
      <c r="L322" s="350">
        <v>65960.17</v>
      </c>
    </row>
    <row r="323" spans="1:12">
      <c r="A323" s="153">
        <v>305</v>
      </c>
      <c r="B323" s="337">
        <v>100</v>
      </c>
      <c r="C323" s="337">
        <v>750</v>
      </c>
      <c r="D323" s="337">
        <v>300</v>
      </c>
      <c r="E323" s="337">
        <v>30</v>
      </c>
      <c r="F323" s="152">
        <v>10</v>
      </c>
      <c r="G323" s="344" t="s">
        <v>2634</v>
      </c>
      <c r="H323" s="344" t="s">
        <v>898</v>
      </c>
      <c r="I323" s="337"/>
      <c r="J323" s="337"/>
      <c r="K323" s="350">
        <v>84829.25</v>
      </c>
      <c r="L323" s="350">
        <v>97566.38</v>
      </c>
    </row>
    <row r="324" spans="1:12">
      <c r="A324" s="153">
        <v>305</v>
      </c>
      <c r="B324" s="337">
        <v>100</v>
      </c>
      <c r="C324" s="337">
        <v>750</v>
      </c>
      <c r="D324" s="337">
        <v>300</v>
      </c>
      <c r="E324" s="337">
        <v>30</v>
      </c>
      <c r="F324" s="152">
        <v>15</v>
      </c>
      <c r="G324" s="344" t="s">
        <v>2635</v>
      </c>
      <c r="H324" s="344" t="s">
        <v>899</v>
      </c>
      <c r="I324" s="337"/>
      <c r="J324" s="337"/>
      <c r="K324" s="350">
        <v>0</v>
      </c>
      <c r="L324" s="350">
        <v>11752.57</v>
      </c>
    </row>
    <row r="325" spans="1:12">
      <c r="A325" s="153">
        <v>305</v>
      </c>
      <c r="B325" s="337">
        <v>100</v>
      </c>
      <c r="C325" s="337">
        <v>750</v>
      </c>
      <c r="D325" s="337">
        <v>300</v>
      </c>
      <c r="E325" s="337">
        <v>30</v>
      </c>
      <c r="F325" s="152">
        <v>20</v>
      </c>
      <c r="G325" s="344" t="s">
        <v>2636</v>
      </c>
      <c r="H325" s="344" t="s">
        <v>900</v>
      </c>
      <c r="I325" s="337"/>
      <c r="J325" s="337"/>
      <c r="K325" s="350">
        <v>26408.2</v>
      </c>
      <c r="L325" s="350">
        <v>10804.37</v>
      </c>
    </row>
    <row r="326" spans="1:12">
      <c r="A326" s="153">
        <v>305</v>
      </c>
      <c r="B326" s="337">
        <v>100</v>
      </c>
      <c r="C326" s="337">
        <v>750</v>
      </c>
      <c r="D326" s="337">
        <v>300</v>
      </c>
      <c r="E326" s="337">
        <v>40</v>
      </c>
      <c r="F326" s="337">
        <v>0</v>
      </c>
      <c r="G326" s="345" t="s">
        <v>2637</v>
      </c>
      <c r="H326" s="345" t="s">
        <v>901</v>
      </c>
      <c r="I326" s="337" t="s">
        <v>902</v>
      </c>
      <c r="J326" s="336"/>
      <c r="K326" s="351">
        <v>0</v>
      </c>
      <c r="L326" s="351">
        <v>0</v>
      </c>
    </row>
    <row r="327" spans="1:12">
      <c r="A327" s="153">
        <v>305</v>
      </c>
      <c r="B327" s="337">
        <v>100</v>
      </c>
      <c r="C327" s="337">
        <v>750</v>
      </c>
      <c r="D327" s="337">
        <v>300</v>
      </c>
      <c r="E327" s="337">
        <v>40</v>
      </c>
      <c r="F327" s="152">
        <v>5</v>
      </c>
      <c r="G327" s="344" t="s">
        <v>2638</v>
      </c>
      <c r="H327" s="344" t="s">
        <v>903</v>
      </c>
      <c r="I327" s="337"/>
      <c r="J327" s="337"/>
      <c r="K327" s="350">
        <v>521982.05</v>
      </c>
      <c r="L327" s="350">
        <v>502918.9</v>
      </c>
    </row>
    <row r="328" spans="1:12">
      <c r="A328" s="153">
        <v>305</v>
      </c>
      <c r="B328" s="337">
        <v>100</v>
      </c>
      <c r="C328" s="337">
        <v>750</v>
      </c>
      <c r="D328" s="337">
        <v>300</v>
      </c>
      <c r="E328" s="337">
        <v>40</v>
      </c>
      <c r="F328" s="152">
        <v>10</v>
      </c>
      <c r="G328" s="344" t="s">
        <v>2639</v>
      </c>
      <c r="H328" s="344" t="s">
        <v>635</v>
      </c>
      <c r="I328" s="354"/>
      <c r="J328" s="354"/>
      <c r="K328" s="350">
        <v>213481.95</v>
      </c>
      <c r="L328" s="350">
        <v>203433.45</v>
      </c>
    </row>
    <row r="329" spans="1:12" ht="25.5">
      <c r="A329" s="153">
        <v>305</v>
      </c>
      <c r="B329" s="337">
        <v>100</v>
      </c>
      <c r="C329" s="337">
        <v>750</v>
      </c>
      <c r="D329" s="337">
        <v>300</v>
      </c>
      <c r="E329" s="337">
        <v>40</v>
      </c>
      <c r="F329" s="152">
        <v>15</v>
      </c>
      <c r="G329" s="344" t="s">
        <v>2245</v>
      </c>
      <c r="H329" s="344" t="s">
        <v>2246</v>
      </c>
      <c r="I329" s="337"/>
      <c r="J329" s="337"/>
      <c r="K329" s="350"/>
      <c r="L329" s="350"/>
    </row>
    <row r="330" spans="1:12">
      <c r="A330" s="153">
        <v>305</v>
      </c>
      <c r="B330" s="337">
        <v>100</v>
      </c>
      <c r="C330" s="337">
        <v>750</v>
      </c>
      <c r="D330" s="337">
        <v>300</v>
      </c>
      <c r="E330" s="337">
        <v>40</v>
      </c>
      <c r="F330" s="152">
        <v>20</v>
      </c>
      <c r="G330" s="344" t="s">
        <v>2247</v>
      </c>
      <c r="H330" s="344" t="s">
        <v>1112</v>
      </c>
      <c r="I330" s="337"/>
      <c r="J330" s="337"/>
      <c r="K330" s="350"/>
      <c r="L330" s="350"/>
    </row>
    <row r="331" spans="1:12">
      <c r="A331" s="153">
        <v>305</v>
      </c>
      <c r="B331" s="337">
        <v>100</v>
      </c>
      <c r="C331" s="337">
        <v>750</v>
      </c>
      <c r="D331" s="337">
        <v>300</v>
      </c>
      <c r="E331" s="337">
        <v>40</v>
      </c>
      <c r="F331" s="152">
        <v>25</v>
      </c>
      <c r="G331" s="344" t="s">
        <v>2248</v>
      </c>
      <c r="H331" s="344" t="s">
        <v>1112</v>
      </c>
      <c r="I331" s="337"/>
      <c r="J331" s="337"/>
      <c r="K331" s="350">
        <v>1480</v>
      </c>
      <c r="L331" s="350">
        <v>0</v>
      </c>
    </row>
    <row r="332" spans="1:12" ht="25.5">
      <c r="A332" s="153">
        <v>305</v>
      </c>
      <c r="B332" s="337">
        <v>100</v>
      </c>
      <c r="C332" s="337">
        <v>750</v>
      </c>
      <c r="D332" s="337">
        <v>300</v>
      </c>
      <c r="E332" s="337">
        <v>40</v>
      </c>
      <c r="F332" s="152">
        <v>30</v>
      </c>
      <c r="G332" s="344" t="s">
        <v>2249</v>
      </c>
      <c r="H332" s="344" t="s">
        <v>1115</v>
      </c>
      <c r="I332" s="337"/>
      <c r="J332" s="337"/>
      <c r="K332" s="350">
        <v>0</v>
      </c>
      <c r="L332" s="350">
        <v>0</v>
      </c>
    </row>
    <row r="333" spans="1:12" ht="25.5">
      <c r="A333" s="153">
        <v>305</v>
      </c>
      <c r="B333" s="337">
        <v>100</v>
      </c>
      <c r="C333" s="337">
        <v>750</v>
      </c>
      <c r="D333" s="337">
        <v>300</v>
      </c>
      <c r="E333" s="337">
        <v>40</v>
      </c>
      <c r="F333" s="152">
        <v>35</v>
      </c>
      <c r="G333" s="344" t="s">
        <v>2250</v>
      </c>
      <c r="H333" s="344" t="s">
        <v>1115</v>
      </c>
      <c r="I333" s="337"/>
      <c r="J333" s="337"/>
      <c r="K333" s="350"/>
      <c r="L333" s="350">
        <v>0</v>
      </c>
    </row>
    <row r="334" spans="1:12">
      <c r="A334" s="153">
        <v>305</v>
      </c>
      <c r="B334" s="337">
        <v>100</v>
      </c>
      <c r="C334" s="337">
        <v>750</v>
      </c>
      <c r="D334" s="337">
        <v>300</v>
      </c>
      <c r="E334" s="337">
        <v>40</v>
      </c>
      <c r="F334" s="152">
        <v>40</v>
      </c>
      <c r="G334" s="344" t="s">
        <v>2251</v>
      </c>
      <c r="H334" s="344" t="s">
        <v>1120</v>
      </c>
      <c r="I334" s="337"/>
      <c r="J334" s="337"/>
      <c r="K334" s="350">
        <v>0</v>
      </c>
      <c r="L334" s="350">
        <v>0</v>
      </c>
    </row>
    <row r="335" spans="1:12">
      <c r="A335" s="153">
        <v>305</v>
      </c>
      <c r="B335" s="337">
        <v>100</v>
      </c>
      <c r="C335" s="337">
        <v>750</v>
      </c>
      <c r="D335" s="337">
        <v>300</v>
      </c>
      <c r="E335" s="337">
        <v>40</v>
      </c>
      <c r="F335" s="152">
        <v>45</v>
      </c>
      <c r="G335" s="344" t="s">
        <v>2252</v>
      </c>
      <c r="H335" s="344" t="s">
        <v>1120</v>
      </c>
      <c r="I335" s="337"/>
      <c r="J335" s="337"/>
      <c r="K335" s="350">
        <v>0</v>
      </c>
      <c r="L335" s="350">
        <v>0</v>
      </c>
    </row>
    <row r="336" spans="1:12">
      <c r="A336" s="153">
        <v>305</v>
      </c>
      <c r="B336" s="337">
        <v>100</v>
      </c>
      <c r="C336" s="337">
        <v>750</v>
      </c>
      <c r="D336" s="337">
        <v>300</v>
      </c>
      <c r="E336" s="337">
        <v>40</v>
      </c>
      <c r="F336" s="152">
        <v>50</v>
      </c>
      <c r="G336" s="344" t="s">
        <v>2253</v>
      </c>
      <c r="H336" s="344" t="s">
        <v>1123</v>
      </c>
      <c r="I336" s="337"/>
      <c r="J336" s="337"/>
      <c r="K336" s="350">
        <v>0</v>
      </c>
      <c r="L336" s="350">
        <v>0</v>
      </c>
    </row>
    <row r="337" spans="1:12">
      <c r="A337" s="153">
        <v>305</v>
      </c>
      <c r="B337" s="337">
        <v>100</v>
      </c>
      <c r="C337" s="337">
        <v>750</v>
      </c>
      <c r="D337" s="337">
        <v>300</v>
      </c>
      <c r="E337" s="337">
        <v>40</v>
      </c>
      <c r="F337" s="152">
        <v>55</v>
      </c>
      <c r="G337" s="344" t="s">
        <v>2254</v>
      </c>
      <c r="H337" s="344" t="s">
        <v>1123</v>
      </c>
      <c r="I337" s="337"/>
      <c r="J337" s="337"/>
      <c r="K337" s="350">
        <v>0</v>
      </c>
      <c r="L337" s="350">
        <v>0</v>
      </c>
    </row>
    <row r="338" spans="1:12">
      <c r="A338" s="153">
        <v>305</v>
      </c>
      <c r="B338" s="337">
        <v>100</v>
      </c>
      <c r="C338" s="337">
        <v>750</v>
      </c>
      <c r="D338" s="337">
        <v>300</v>
      </c>
      <c r="E338" s="152">
        <v>50</v>
      </c>
      <c r="F338" s="337">
        <v>0</v>
      </c>
      <c r="G338" s="344" t="s">
        <v>2640</v>
      </c>
      <c r="H338" s="344" t="s">
        <v>904</v>
      </c>
      <c r="I338" s="337" t="s">
        <v>905</v>
      </c>
      <c r="J338" s="337"/>
      <c r="K338" s="350">
        <v>33772.28</v>
      </c>
      <c r="L338" s="350">
        <v>0</v>
      </c>
    </row>
    <row r="339" spans="1:12">
      <c r="A339" s="153">
        <v>305</v>
      </c>
      <c r="B339" s="337">
        <v>100</v>
      </c>
      <c r="C339" s="337">
        <v>750</v>
      </c>
      <c r="D339" s="337">
        <v>300</v>
      </c>
      <c r="E339" s="337">
        <v>60</v>
      </c>
      <c r="F339" s="337">
        <v>0</v>
      </c>
      <c r="G339" s="345" t="s">
        <v>2641</v>
      </c>
      <c r="H339" s="345" t="s">
        <v>906</v>
      </c>
      <c r="I339" s="337" t="s">
        <v>907</v>
      </c>
      <c r="J339" s="336"/>
      <c r="K339" s="351">
        <v>0</v>
      </c>
      <c r="L339" s="351">
        <v>0</v>
      </c>
    </row>
    <row r="340" spans="1:12">
      <c r="A340" s="153">
        <v>305</v>
      </c>
      <c r="B340" s="337">
        <v>100</v>
      </c>
      <c r="C340" s="337">
        <v>750</v>
      </c>
      <c r="D340" s="337">
        <v>300</v>
      </c>
      <c r="E340" s="337">
        <v>60</v>
      </c>
      <c r="F340" s="152">
        <v>5</v>
      </c>
      <c r="G340" s="344" t="s">
        <v>2642</v>
      </c>
      <c r="H340" s="344" t="s">
        <v>908</v>
      </c>
      <c r="I340" s="337"/>
      <c r="J340" s="337"/>
      <c r="K340" s="350">
        <v>0</v>
      </c>
      <c r="L340" s="350">
        <v>0</v>
      </c>
    </row>
    <row r="341" spans="1:12">
      <c r="A341" s="153">
        <v>305</v>
      </c>
      <c r="B341" s="337">
        <v>100</v>
      </c>
      <c r="C341" s="337">
        <v>750</v>
      </c>
      <c r="D341" s="337">
        <v>300</v>
      </c>
      <c r="E341" s="337">
        <v>60</v>
      </c>
      <c r="F341" s="152">
        <v>10</v>
      </c>
      <c r="G341" s="344" t="s">
        <v>2643</v>
      </c>
      <c r="H341" s="344" t="s">
        <v>909</v>
      </c>
      <c r="I341" s="337"/>
      <c r="J341" s="337"/>
      <c r="K341" s="350">
        <v>0</v>
      </c>
      <c r="L341" s="350">
        <v>0</v>
      </c>
    </row>
    <row r="342" spans="1:12">
      <c r="A342" s="153">
        <v>305</v>
      </c>
      <c r="B342" s="337">
        <v>100</v>
      </c>
      <c r="C342" s="337">
        <v>750</v>
      </c>
      <c r="D342" s="337">
        <v>300</v>
      </c>
      <c r="E342" s="337">
        <v>60</v>
      </c>
      <c r="F342" s="152">
        <v>15</v>
      </c>
      <c r="G342" s="344" t="s">
        <v>2644</v>
      </c>
      <c r="H342" s="344" t="s">
        <v>910</v>
      </c>
      <c r="I342" s="337"/>
      <c r="J342" s="337"/>
      <c r="K342" s="350">
        <v>563702.34</v>
      </c>
      <c r="L342" s="350">
        <v>576646.69999999995</v>
      </c>
    </row>
    <row r="343" spans="1:12">
      <c r="A343" s="153">
        <v>305</v>
      </c>
      <c r="B343" s="337">
        <v>100</v>
      </c>
      <c r="C343" s="337">
        <v>750</v>
      </c>
      <c r="D343" s="337">
        <v>300</v>
      </c>
      <c r="E343" s="337">
        <v>60</v>
      </c>
      <c r="F343" s="152">
        <v>20</v>
      </c>
      <c r="G343" s="344" t="s">
        <v>2645</v>
      </c>
      <c r="H343" s="344" t="s">
        <v>911</v>
      </c>
      <c r="I343" s="337"/>
      <c r="J343" s="337"/>
      <c r="K343" s="350">
        <v>541214.79</v>
      </c>
      <c r="L343" s="350">
        <v>419492.73</v>
      </c>
    </row>
    <row r="344" spans="1:12">
      <c r="A344" s="153">
        <v>305</v>
      </c>
      <c r="B344" s="337">
        <v>100</v>
      </c>
      <c r="C344" s="337">
        <v>750</v>
      </c>
      <c r="D344" s="337">
        <v>300</v>
      </c>
      <c r="E344" s="337">
        <v>60</v>
      </c>
      <c r="F344" s="152">
        <v>25</v>
      </c>
      <c r="G344" s="344" t="s">
        <v>2646</v>
      </c>
      <c r="H344" s="344" t="s">
        <v>912</v>
      </c>
      <c r="I344" s="337"/>
      <c r="J344" s="337"/>
      <c r="K344" s="350">
        <v>8655</v>
      </c>
      <c r="L344" s="350">
        <v>3465</v>
      </c>
    </row>
    <row r="345" spans="1:12">
      <c r="A345" s="153">
        <v>305</v>
      </c>
      <c r="B345" s="337">
        <v>100</v>
      </c>
      <c r="C345" s="337">
        <v>750</v>
      </c>
      <c r="D345" s="337">
        <v>300</v>
      </c>
      <c r="E345" s="337">
        <v>60</v>
      </c>
      <c r="F345" s="152">
        <v>30</v>
      </c>
      <c r="G345" s="344" t="s">
        <v>2647</v>
      </c>
      <c r="H345" s="344" t="s">
        <v>913</v>
      </c>
      <c r="I345" s="337"/>
      <c r="J345" s="337"/>
      <c r="K345" s="350">
        <v>102417.58</v>
      </c>
      <c r="L345" s="350">
        <v>104288.01</v>
      </c>
    </row>
    <row r="346" spans="1:12">
      <c r="A346" s="153">
        <v>305</v>
      </c>
      <c r="B346" s="337">
        <v>100</v>
      </c>
      <c r="C346" s="337">
        <v>750</v>
      </c>
      <c r="D346" s="337">
        <v>300</v>
      </c>
      <c r="E346" s="337">
        <v>60</v>
      </c>
      <c r="F346" s="152">
        <v>35</v>
      </c>
      <c r="G346" s="344" t="s">
        <v>2648</v>
      </c>
      <c r="H346" s="344" t="s">
        <v>914</v>
      </c>
      <c r="I346" s="337"/>
      <c r="J346" s="337"/>
      <c r="K346" s="350"/>
      <c r="L346" s="350"/>
    </row>
    <row r="347" spans="1:12" ht="25.5">
      <c r="A347" s="153">
        <v>305</v>
      </c>
      <c r="B347" s="337">
        <v>100</v>
      </c>
      <c r="C347" s="337">
        <v>750</v>
      </c>
      <c r="D347" s="337">
        <v>300</v>
      </c>
      <c r="E347" s="337">
        <v>60</v>
      </c>
      <c r="F347" s="152">
        <v>40</v>
      </c>
      <c r="G347" s="344" t="s">
        <v>2649</v>
      </c>
      <c r="H347" s="344" t="s">
        <v>915</v>
      </c>
      <c r="I347" s="337"/>
      <c r="J347" s="337"/>
      <c r="K347" s="350"/>
      <c r="L347" s="350"/>
    </row>
    <row r="348" spans="1:12" ht="25.5">
      <c r="A348" s="153">
        <v>305</v>
      </c>
      <c r="B348" s="337">
        <v>100</v>
      </c>
      <c r="C348" s="337">
        <v>750</v>
      </c>
      <c r="D348" s="337">
        <v>300</v>
      </c>
      <c r="E348" s="337">
        <v>60</v>
      </c>
      <c r="F348" s="152">
        <v>90</v>
      </c>
      <c r="G348" s="344" t="s">
        <v>2650</v>
      </c>
      <c r="H348" s="344" t="s">
        <v>916</v>
      </c>
      <c r="I348" s="337"/>
      <c r="J348" s="337"/>
      <c r="K348" s="350">
        <v>25524.99</v>
      </c>
      <c r="L348" s="350">
        <v>28056.11</v>
      </c>
    </row>
    <row r="349" spans="1:12" ht="25.5">
      <c r="A349" s="153">
        <v>305</v>
      </c>
      <c r="B349" s="337">
        <v>100</v>
      </c>
      <c r="C349" s="337">
        <v>750</v>
      </c>
      <c r="D349" s="337">
        <v>400</v>
      </c>
      <c r="E349" s="337">
        <v>0</v>
      </c>
      <c r="F349" s="337">
        <v>0</v>
      </c>
      <c r="G349" s="345" t="s">
        <v>2651</v>
      </c>
      <c r="H349" s="345" t="s">
        <v>917</v>
      </c>
      <c r="I349" s="346" t="s">
        <v>918</v>
      </c>
      <c r="J349" s="348"/>
      <c r="K349" s="351">
        <v>0</v>
      </c>
      <c r="L349" s="351">
        <v>0</v>
      </c>
    </row>
    <row r="350" spans="1:12" ht="38.25">
      <c r="A350" s="153">
        <v>305</v>
      </c>
      <c r="B350" s="337">
        <v>100</v>
      </c>
      <c r="C350" s="337">
        <v>750</v>
      </c>
      <c r="D350" s="337">
        <v>400</v>
      </c>
      <c r="E350" s="152">
        <v>10</v>
      </c>
      <c r="F350" s="152">
        <v>0</v>
      </c>
      <c r="G350" s="344" t="s">
        <v>2652</v>
      </c>
      <c r="H350" s="344" t="s">
        <v>919</v>
      </c>
      <c r="I350" s="346" t="s">
        <v>920</v>
      </c>
      <c r="J350" s="346" t="s">
        <v>1522</v>
      </c>
      <c r="K350" s="350">
        <v>10408.219999999999</v>
      </c>
      <c r="L350" s="350">
        <v>0</v>
      </c>
    </row>
    <row r="351" spans="1:12" ht="25.5">
      <c r="A351" s="153">
        <v>305</v>
      </c>
      <c r="B351" s="337">
        <v>100</v>
      </c>
      <c r="C351" s="337">
        <v>750</v>
      </c>
      <c r="D351" s="337">
        <v>400</v>
      </c>
      <c r="E351" s="152">
        <v>20</v>
      </c>
      <c r="F351" s="337">
        <v>0</v>
      </c>
      <c r="G351" s="344" t="s">
        <v>2653</v>
      </c>
      <c r="H351" s="344" t="s">
        <v>921</v>
      </c>
      <c r="I351" s="337" t="s">
        <v>922</v>
      </c>
      <c r="J351" s="337"/>
      <c r="K351" s="350">
        <v>0</v>
      </c>
      <c r="L351" s="350">
        <v>0</v>
      </c>
    </row>
    <row r="352" spans="1:12" ht="25.5">
      <c r="A352" s="153">
        <v>305</v>
      </c>
      <c r="B352" s="337">
        <v>100</v>
      </c>
      <c r="C352" s="337">
        <v>750</v>
      </c>
      <c r="D352" s="337">
        <v>400</v>
      </c>
      <c r="E352" s="152">
        <v>30</v>
      </c>
      <c r="F352" s="337">
        <v>0</v>
      </c>
      <c r="G352" s="344" t="s">
        <v>2654</v>
      </c>
      <c r="H352" s="344" t="s">
        <v>923</v>
      </c>
      <c r="I352" s="337" t="s">
        <v>924</v>
      </c>
      <c r="J352" s="337" t="s">
        <v>1571</v>
      </c>
      <c r="K352" s="350"/>
      <c r="L352" s="350">
        <v>0</v>
      </c>
    </row>
    <row r="353" spans="1:12">
      <c r="A353" s="153">
        <v>305</v>
      </c>
      <c r="B353" s="337">
        <v>100</v>
      </c>
      <c r="C353" s="337">
        <v>800</v>
      </c>
      <c r="D353" s="337">
        <v>0</v>
      </c>
      <c r="E353" s="337">
        <v>0</v>
      </c>
      <c r="F353" s="337">
        <v>0</v>
      </c>
      <c r="G353" s="345" t="s">
        <v>2655</v>
      </c>
      <c r="H353" s="345" t="s">
        <v>925</v>
      </c>
      <c r="I353" s="346" t="s">
        <v>926</v>
      </c>
      <c r="J353" s="348"/>
      <c r="K353" s="351">
        <v>0</v>
      </c>
      <c r="L353" s="351">
        <v>0</v>
      </c>
    </row>
    <row r="354" spans="1:12" ht="38.25">
      <c r="A354" s="153">
        <v>305</v>
      </c>
      <c r="B354" s="337">
        <v>100</v>
      </c>
      <c r="C354" s="337">
        <v>800</v>
      </c>
      <c r="D354" s="337">
        <v>100</v>
      </c>
      <c r="E354" s="152">
        <v>0</v>
      </c>
      <c r="F354" s="152">
        <v>0</v>
      </c>
      <c r="G354" s="344" t="s">
        <v>2656</v>
      </c>
      <c r="H354" s="344" t="s">
        <v>927</v>
      </c>
      <c r="I354" s="346" t="s">
        <v>928</v>
      </c>
      <c r="J354" s="346" t="s">
        <v>1522</v>
      </c>
      <c r="K354" s="350">
        <v>0</v>
      </c>
      <c r="L354" s="350">
        <v>0</v>
      </c>
    </row>
    <row r="355" spans="1:12" ht="38.25">
      <c r="A355" s="153">
        <v>305</v>
      </c>
      <c r="B355" s="337">
        <v>100</v>
      </c>
      <c r="C355" s="337">
        <v>800</v>
      </c>
      <c r="D355" s="152">
        <v>200</v>
      </c>
      <c r="E355" s="337">
        <v>0</v>
      </c>
      <c r="F355" s="337">
        <v>0</v>
      </c>
      <c r="G355" s="344" t="s">
        <v>2657</v>
      </c>
      <c r="H355" s="344" t="s">
        <v>929</v>
      </c>
      <c r="I355" s="337" t="s">
        <v>930</v>
      </c>
      <c r="J355" s="337"/>
      <c r="K355" s="350">
        <v>0</v>
      </c>
      <c r="L355" s="350">
        <v>0</v>
      </c>
    </row>
    <row r="356" spans="1:12" ht="25.5">
      <c r="A356" s="153">
        <v>305</v>
      </c>
      <c r="B356" s="337">
        <v>100</v>
      </c>
      <c r="C356" s="337">
        <v>800</v>
      </c>
      <c r="D356" s="152">
        <v>300</v>
      </c>
      <c r="E356" s="337">
        <v>0</v>
      </c>
      <c r="F356" s="337">
        <v>0</v>
      </c>
      <c r="G356" s="344" t="s">
        <v>2658</v>
      </c>
      <c r="H356" s="344" t="s">
        <v>931</v>
      </c>
      <c r="I356" s="337" t="s">
        <v>932</v>
      </c>
      <c r="J356" s="337" t="s">
        <v>1571</v>
      </c>
      <c r="K356" s="350">
        <v>0</v>
      </c>
      <c r="L356" s="350">
        <v>0</v>
      </c>
    </row>
    <row r="357" spans="1:12">
      <c r="A357" s="153">
        <v>305</v>
      </c>
      <c r="B357" s="337">
        <v>100</v>
      </c>
      <c r="C357" s="337">
        <v>800</v>
      </c>
      <c r="D357" s="337">
        <v>400</v>
      </c>
      <c r="E357" s="337">
        <v>0</v>
      </c>
      <c r="F357" s="337">
        <v>0</v>
      </c>
      <c r="G357" s="345" t="s">
        <v>2659</v>
      </c>
      <c r="H357" s="345" t="s">
        <v>933</v>
      </c>
      <c r="I357" s="337" t="s">
        <v>934</v>
      </c>
      <c r="J357" s="336"/>
      <c r="K357" s="351">
        <v>0</v>
      </c>
      <c r="L357" s="351">
        <v>0</v>
      </c>
    </row>
    <row r="358" spans="1:12">
      <c r="A358" s="153">
        <v>305</v>
      </c>
      <c r="B358" s="337">
        <v>100</v>
      </c>
      <c r="C358" s="337">
        <v>800</v>
      </c>
      <c r="D358" s="337">
        <v>400</v>
      </c>
      <c r="E358" s="152">
        <v>10</v>
      </c>
      <c r="F358" s="337">
        <v>0</v>
      </c>
      <c r="G358" s="344" t="s">
        <v>2660</v>
      </c>
      <c r="H358" s="344" t="s">
        <v>935</v>
      </c>
      <c r="I358" s="337"/>
      <c r="J358" s="337"/>
      <c r="K358" s="350">
        <v>0</v>
      </c>
      <c r="L358" s="350">
        <v>0</v>
      </c>
    </row>
    <row r="359" spans="1:12">
      <c r="A359" s="153">
        <v>305</v>
      </c>
      <c r="B359" s="337">
        <v>100</v>
      </c>
      <c r="C359" s="337">
        <v>800</v>
      </c>
      <c r="D359" s="337">
        <v>400</v>
      </c>
      <c r="E359" s="152">
        <v>20</v>
      </c>
      <c r="F359" s="337">
        <v>0</v>
      </c>
      <c r="G359" s="344" t="s">
        <v>2489</v>
      </c>
      <c r="H359" s="344" t="s">
        <v>736</v>
      </c>
      <c r="I359" s="337"/>
      <c r="J359" s="337"/>
      <c r="K359" s="350">
        <v>0</v>
      </c>
      <c r="L359" s="350">
        <v>0</v>
      </c>
    </row>
    <row r="360" spans="1:12">
      <c r="A360" s="153">
        <v>305</v>
      </c>
      <c r="B360" s="337">
        <v>100</v>
      </c>
      <c r="C360" s="337">
        <v>800</v>
      </c>
      <c r="D360" s="337">
        <v>400</v>
      </c>
      <c r="E360" s="152">
        <v>30</v>
      </c>
      <c r="F360" s="337">
        <v>0</v>
      </c>
      <c r="G360" s="344" t="s">
        <v>2525</v>
      </c>
      <c r="H360" s="344" t="s">
        <v>3450</v>
      </c>
      <c r="I360" s="337"/>
      <c r="J360" s="337"/>
      <c r="K360" s="350">
        <v>0</v>
      </c>
      <c r="L360" s="350">
        <v>0</v>
      </c>
    </row>
    <row r="361" spans="1:12">
      <c r="A361" s="153">
        <v>305</v>
      </c>
      <c r="B361" s="337">
        <v>100</v>
      </c>
      <c r="C361" s="337">
        <v>800</v>
      </c>
      <c r="D361" s="337">
        <v>400</v>
      </c>
      <c r="E361" s="152">
        <v>90</v>
      </c>
      <c r="F361" s="337">
        <v>0</v>
      </c>
      <c r="G361" s="344" t="s">
        <v>2661</v>
      </c>
      <c r="H361" s="344" t="s">
        <v>933</v>
      </c>
      <c r="I361" s="337"/>
      <c r="J361" s="337"/>
      <c r="K361" s="350">
        <v>930897.64</v>
      </c>
      <c r="L361" s="350">
        <v>658928.52</v>
      </c>
    </row>
    <row r="362" spans="1:12" ht="25.5">
      <c r="A362" s="153">
        <v>305</v>
      </c>
      <c r="B362" s="337">
        <v>100</v>
      </c>
      <c r="C362" s="337">
        <v>800</v>
      </c>
      <c r="D362" s="152">
        <v>500</v>
      </c>
      <c r="E362" s="337">
        <v>0</v>
      </c>
      <c r="F362" s="337">
        <v>0</v>
      </c>
      <c r="G362" s="344" t="s">
        <v>2662</v>
      </c>
      <c r="H362" s="344" t="s">
        <v>936</v>
      </c>
      <c r="I362" s="337" t="s">
        <v>937</v>
      </c>
      <c r="J362" s="337"/>
      <c r="K362" s="350">
        <v>0</v>
      </c>
      <c r="L362" s="350">
        <v>0</v>
      </c>
    </row>
    <row r="363" spans="1:12" ht="25.5">
      <c r="A363" s="153">
        <v>305</v>
      </c>
      <c r="B363" s="337">
        <v>100</v>
      </c>
      <c r="C363" s="337">
        <v>800</v>
      </c>
      <c r="D363" s="152">
        <v>600</v>
      </c>
      <c r="E363" s="337">
        <v>0</v>
      </c>
      <c r="F363" s="337">
        <v>0</v>
      </c>
      <c r="G363" s="344" t="s">
        <v>2663</v>
      </c>
      <c r="H363" s="344" t="s">
        <v>938</v>
      </c>
      <c r="I363" s="337" t="s">
        <v>939</v>
      </c>
      <c r="J363" s="337" t="s">
        <v>1522</v>
      </c>
      <c r="K363" s="350">
        <v>0</v>
      </c>
      <c r="L363" s="350">
        <v>0</v>
      </c>
    </row>
    <row r="364" spans="1:12" ht="25.5">
      <c r="A364" s="153">
        <v>305</v>
      </c>
      <c r="B364" s="337">
        <v>100</v>
      </c>
      <c r="C364" s="337">
        <v>800</v>
      </c>
      <c r="D364" s="152">
        <v>700</v>
      </c>
      <c r="E364" s="337">
        <v>0</v>
      </c>
      <c r="F364" s="337">
        <v>0</v>
      </c>
      <c r="G364" s="344" t="s">
        <v>2664</v>
      </c>
      <c r="H364" s="344" t="s">
        <v>940</v>
      </c>
      <c r="I364" s="337" t="s">
        <v>941</v>
      </c>
      <c r="J364" s="337" t="s">
        <v>1571</v>
      </c>
      <c r="K364" s="350">
        <v>0</v>
      </c>
      <c r="L364" s="350">
        <v>0</v>
      </c>
    </row>
    <row r="365" spans="1:12" ht="25.5">
      <c r="A365" s="153">
        <v>305</v>
      </c>
      <c r="B365" s="337">
        <v>100</v>
      </c>
      <c r="C365" s="152">
        <v>850</v>
      </c>
      <c r="D365" s="337">
        <v>0</v>
      </c>
      <c r="E365" s="337">
        <v>0</v>
      </c>
      <c r="F365" s="337">
        <v>0</v>
      </c>
      <c r="G365" s="344" t="s">
        <v>2665</v>
      </c>
      <c r="H365" s="344" t="s">
        <v>943</v>
      </c>
      <c r="I365" s="337" t="s">
        <v>942</v>
      </c>
      <c r="J365" s="337" t="s">
        <v>1567</v>
      </c>
      <c r="K365" s="350">
        <v>0</v>
      </c>
      <c r="L365" s="350">
        <v>0</v>
      </c>
    </row>
    <row r="366" spans="1:12">
      <c r="A366" s="153">
        <v>305</v>
      </c>
      <c r="B366" s="337">
        <v>200</v>
      </c>
      <c r="C366" s="337">
        <v>0</v>
      </c>
      <c r="D366" s="337">
        <v>0</v>
      </c>
      <c r="E366" s="337">
        <v>0</v>
      </c>
      <c r="F366" s="337">
        <v>0</v>
      </c>
      <c r="G366" s="345" t="s">
        <v>2666</v>
      </c>
      <c r="H366" s="345" t="s">
        <v>56</v>
      </c>
      <c r="I366" s="337" t="s">
        <v>944</v>
      </c>
      <c r="J366" s="336"/>
      <c r="K366" s="351">
        <v>0</v>
      </c>
      <c r="L366" s="351">
        <v>0</v>
      </c>
    </row>
    <row r="367" spans="1:12">
      <c r="A367" s="153">
        <v>305</v>
      </c>
      <c r="B367" s="337">
        <v>200</v>
      </c>
      <c r="C367" s="337">
        <v>100</v>
      </c>
      <c r="D367" s="337">
        <v>0</v>
      </c>
      <c r="E367" s="337">
        <v>0</v>
      </c>
      <c r="F367" s="337">
        <v>0</v>
      </c>
      <c r="G367" s="345" t="s">
        <v>2667</v>
      </c>
      <c r="H367" s="345" t="s">
        <v>945</v>
      </c>
      <c r="I367" s="337" t="s">
        <v>946</v>
      </c>
      <c r="J367" s="336"/>
      <c r="K367" s="351">
        <v>0</v>
      </c>
      <c r="L367" s="351">
        <v>0</v>
      </c>
    </row>
    <row r="368" spans="1:12">
      <c r="A368" s="153">
        <v>305</v>
      </c>
      <c r="B368" s="337">
        <v>200</v>
      </c>
      <c r="C368" s="337">
        <v>100</v>
      </c>
      <c r="D368" s="152">
        <v>50</v>
      </c>
      <c r="E368" s="337">
        <v>0</v>
      </c>
      <c r="F368" s="337">
        <v>0</v>
      </c>
      <c r="G368" s="344" t="s">
        <v>2668</v>
      </c>
      <c r="H368" s="344" t="s">
        <v>947</v>
      </c>
      <c r="I368" s="337" t="s">
        <v>948</v>
      </c>
      <c r="J368" s="337"/>
      <c r="K368" s="350">
        <v>617689.86</v>
      </c>
      <c r="L368" s="350">
        <v>684825.72</v>
      </c>
    </row>
    <row r="369" spans="1:12">
      <c r="A369" s="153">
        <v>305</v>
      </c>
      <c r="B369" s="337">
        <v>200</v>
      </c>
      <c r="C369" s="337">
        <v>100</v>
      </c>
      <c r="D369" s="152">
        <v>100</v>
      </c>
      <c r="E369" s="337">
        <v>0</v>
      </c>
      <c r="F369" s="337">
        <v>0</v>
      </c>
      <c r="G369" s="344" t="s">
        <v>2669</v>
      </c>
      <c r="H369" s="344" t="s">
        <v>949</v>
      </c>
      <c r="I369" s="337" t="s">
        <v>950</v>
      </c>
      <c r="J369" s="337"/>
      <c r="K369" s="350">
        <v>1826415.35</v>
      </c>
      <c r="L369" s="350">
        <v>1732653.6</v>
      </c>
    </row>
    <row r="370" spans="1:12">
      <c r="A370" s="153">
        <v>305</v>
      </c>
      <c r="B370" s="337">
        <v>200</v>
      </c>
      <c r="C370" s="337">
        <v>100</v>
      </c>
      <c r="D370" s="152">
        <v>150</v>
      </c>
      <c r="E370" s="337">
        <v>0</v>
      </c>
      <c r="F370" s="337">
        <v>0</v>
      </c>
      <c r="G370" s="344" t="s">
        <v>2670</v>
      </c>
      <c r="H370" s="344" t="s">
        <v>951</v>
      </c>
      <c r="I370" s="337" t="s">
        <v>952</v>
      </c>
      <c r="J370" s="336"/>
      <c r="K370" s="351">
        <v>0</v>
      </c>
      <c r="L370" s="351">
        <v>0</v>
      </c>
    </row>
    <row r="371" spans="1:12">
      <c r="A371" s="153">
        <v>305</v>
      </c>
      <c r="B371" s="337">
        <v>200</v>
      </c>
      <c r="C371" s="337">
        <v>100</v>
      </c>
      <c r="D371" s="152">
        <v>150</v>
      </c>
      <c r="E371" s="337">
        <v>10</v>
      </c>
      <c r="F371" s="337">
        <v>0</v>
      </c>
      <c r="G371" s="344" t="s">
        <v>2671</v>
      </c>
      <c r="H371" s="344" t="s">
        <v>953</v>
      </c>
      <c r="I371" s="337" t="s">
        <v>954</v>
      </c>
      <c r="J371" s="337"/>
      <c r="K371" s="350">
        <v>190472.07</v>
      </c>
      <c r="L371" s="350">
        <v>177927.72</v>
      </c>
    </row>
    <row r="372" spans="1:12">
      <c r="A372" s="153">
        <v>305</v>
      </c>
      <c r="B372" s="337">
        <v>200</v>
      </c>
      <c r="C372" s="337">
        <v>100</v>
      </c>
      <c r="D372" s="152">
        <v>150</v>
      </c>
      <c r="E372" s="337">
        <v>20</v>
      </c>
      <c r="F372" s="337">
        <v>0</v>
      </c>
      <c r="G372" s="344" t="s">
        <v>2672</v>
      </c>
      <c r="H372" s="344" t="s">
        <v>955</v>
      </c>
      <c r="I372" s="337" t="s">
        <v>956</v>
      </c>
      <c r="J372" s="337"/>
      <c r="K372" s="350">
        <v>718043.74</v>
      </c>
      <c r="L372" s="350">
        <v>636658.49</v>
      </c>
    </row>
    <row r="373" spans="1:12">
      <c r="A373" s="153">
        <v>305</v>
      </c>
      <c r="B373" s="337">
        <v>200</v>
      </c>
      <c r="C373" s="337">
        <v>100</v>
      </c>
      <c r="D373" s="152">
        <v>200</v>
      </c>
      <c r="E373" s="337">
        <v>0</v>
      </c>
      <c r="F373" s="337">
        <v>0</v>
      </c>
      <c r="G373" s="344" t="s">
        <v>2673</v>
      </c>
      <c r="H373" s="344" t="s">
        <v>957</v>
      </c>
      <c r="I373" s="337" t="s">
        <v>958</v>
      </c>
      <c r="J373" s="337"/>
      <c r="K373" s="350">
        <v>1917050.62</v>
      </c>
      <c r="L373" s="350">
        <v>2571913.54</v>
      </c>
    </row>
    <row r="374" spans="1:12">
      <c r="A374" s="153">
        <v>305</v>
      </c>
      <c r="B374" s="337">
        <v>200</v>
      </c>
      <c r="C374" s="337">
        <v>100</v>
      </c>
      <c r="D374" s="337">
        <v>250</v>
      </c>
      <c r="E374" s="337">
        <v>0</v>
      </c>
      <c r="F374" s="337">
        <v>0</v>
      </c>
      <c r="G374" s="345" t="s">
        <v>2674</v>
      </c>
      <c r="H374" s="345" t="s">
        <v>959</v>
      </c>
      <c r="I374" s="337" t="s">
        <v>960</v>
      </c>
      <c r="J374" s="336"/>
      <c r="K374" s="351">
        <v>0</v>
      </c>
      <c r="L374" s="351">
        <v>0</v>
      </c>
    </row>
    <row r="375" spans="1:12">
      <c r="A375" s="153">
        <v>305</v>
      </c>
      <c r="B375" s="337">
        <v>200</v>
      </c>
      <c r="C375" s="337">
        <v>100</v>
      </c>
      <c r="D375" s="337">
        <v>250</v>
      </c>
      <c r="E375" s="152">
        <v>10</v>
      </c>
      <c r="F375" s="152">
        <v>0</v>
      </c>
      <c r="G375" s="344" t="s">
        <v>2675</v>
      </c>
      <c r="H375" s="344" t="s">
        <v>961</v>
      </c>
      <c r="I375" s="337"/>
      <c r="J375" s="337"/>
      <c r="K375" s="357">
        <v>0</v>
      </c>
      <c r="L375" s="357">
        <v>0</v>
      </c>
    </row>
    <row r="376" spans="1:12">
      <c r="A376" s="153">
        <v>305</v>
      </c>
      <c r="B376" s="337">
        <v>200</v>
      </c>
      <c r="C376" s="337">
        <v>100</v>
      </c>
      <c r="D376" s="337">
        <v>250</v>
      </c>
      <c r="E376" s="152">
        <v>20</v>
      </c>
      <c r="F376" s="152">
        <v>0</v>
      </c>
      <c r="G376" s="344" t="s">
        <v>2676</v>
      </c>
      <c r="H376" s="344" t="s">
        <v>962</v>
      </c>
      <c r="I376" s="337"/>
      <c r="J376" s="337"/>
      <c r="K376" s="357">
        <v>0</v>
      </c>
      <c r="L376" s="357">
        <v>0</v>
      </c>
    </row>
    <row r="377" spans="1:12">
      <c r="A377" s="153">
        <v>305</v>
      </c>
      <c r="B377" s="337">
        <v>200</v>
      </c>
      <c r="C377" s="337">
        <v>100</v>
      </c>
      <c r="D377" s="337">
        <v>250</v>
      </c>
      <c r="E377" s="152">
        <v>90</v>
      </c>
      <c r="F377" s="152">
        <v>0</v>
      </c>
      <c r="G377" s="344" t="s">
        <v>2677</v>
      </c>
      <c r="H377" s="344" t="s">
        <v>963</v>
      </c>
      <c r="I377" s="337"/>
      <c r="J377" s="337"/>
      <c r="K377" s="357">
        <v>0</v>
      </c>
      <c r="L377" s="357">
        <v>0</v>
      </c>
    </row>
    <row r="378" spans="1:12">
      <c r="A378" s="153">
        <v>305</v>
      </c>
      <c r="B378" s="337">
        <v>200</v>
      </c>
      <c r="C378" s="337">
        <v>100</v>
      </c>
      <c r="D378" s="152">
        <v>300</v>
      </c>
      <c r="E378" s="152">
        <v>0</v>
      </c>
      <c r="F378" s="152">
        <v>0</v>
      </c>
      <c r="G378" s="344" t="s">
        <v>2678</v>
      </c>
      <c r="H378" s="344" t="s">
        <v>964</v>
      </c>
      <c r="I378" s="337" t="s">
        <v>965</v>
      </c>
      <c r="J378" s="337"/>
      <c r="K378" s="350">
        <v>255275.58</v>
      </c>
      <c r="L378" s="350">
        <v>293542.8</v>
      </c>
    </row>
    <row r="379" spans="1:12">
      <c r="A379" s="153">
        <v>305</v>
      </c>
      <c r="B379" s="337">
        <v>200</v>
      </c>
      <c r="C379" s="337">
        <v>100</v>
      </c>
      <c r="D379" s="152">
        <v>350</v>
      </c>
      <c r="E379" s="152">
        <v>0</v>
      </c>
      <c r="F379" s="152">
        <v>0</v>
      </c>
      <c r="G379" s="344" t="s">
        <v>2679</v>
      </c>
      <c r="H379" s="344" t="s">
        <v>966</v>
      </c>
      <c r="I379" s="337" t="s">
        <v>967</v>
      </c>
      <c r="J379" s="337"/>
      <c r="K379" s="350">
        <v>441958.45</v>
      </c>
      <c r="L379" s="350">
        <v>314641.71000000002</v>
      </c>
    </row>
    <row r="380" spans="1:12">
      <c r="A380" s="153">
        <v>305</v>
      </c>
      <c r="B380" s="337">
        <v>200</v>
      </c>
      <c r="C380" s="337">
        <v>100</v>
      </c>
      <c r="D380" s="337">
        <v>400</v>
      </c>
      <c r="E380" s="337">
        <v>0</v>
      </c>
      <c r="F380" s="337">
        <v>0</v>
      </c>
      <c r="G380" s="345" t="s">
        <v>2680</v>
      </c>
      <c r="H380" s="345" t="s">
        <v>968</v>
      </c>
      <c r="I380" s="337" t="s">
        <v>969</v>
      </c>
      <c r="J380" s="336"/>
      <c r="K380" s="351">
        <v>0</v>
      </c>
      <c r="L380" s="351">
        <v>0</v>
      </c>
    </row>
    <row r="381" spans="1:12">
      <c r="A381" s="153">
        <v>305</v>
      </c>
      <c r="B381" s="337">
        <v>200</v>
      </c>
      <c r="C381" s="337">
        <v>100</v>
      </c>
      <c r="D381" s="337">
        <v>400</v>
      </c>
      <c r="E381" s="152">
        <v>10</v>
      </c>
      <c r="F381" s="152">
        <v>0</v>
      </c>
      <c r="G381" s="344" t="s">
        <v>2681</v>
      </c>
      <c r="H381" s="344" t="s">
        <v>970</v>
      </c>
      <c r="I381" s="337"/>
      <c r="J381" s="337"/>
      <c r="K381" s="357">
        <v>85989.84</v>
      </c>
      <c r="L381" s="357">
        <v>91489.14</v>
      </c>
    </row>
    <row r="382" spans="1:12">
      <c r="A382" s="153">
        <v>305</v>
      </c>
      <c r="B382" s="337">
        <v>200</v>
      </c>
      <c r="C382" s="337">
        <v>100</v>
      </c>
      <c r="D382" s="337">
        <v>400</v>
      </c>
      <c r="E382" s="152">
        <v>20</v>
      </c>
      <c r="F382" s="152">
        <v>0</v>
      </c>
      <c r="G382" s="344" t="s">
        <v>2682</v>
      </c>
      <c r="H382" s="344" t="s">
        <v>971</v>
      </c>
      <c r="I382" s="337"/>
      <c r="J382" s="337"/>
      <c r="K382" s="357">
        <v>7320</v>
      </c>
      <c r="L382" s="357">
        <v>7320</v>
      </c>
    </row>
    <row r="383" spans="1:12">
      <c r="A383" s="153">
        <v>305</v>
      </c>
      <c r="B383" s="337">
        <v>200</v>
      </c>
      <c r="C383" s="337">
        <v>100</v>
      </c>
      <c r="D383" s="152">
        <v>450</v>
      </c>
      <c r="E383" s="152">
        <v>0</v>
      </c>
      <c r="F383" s="152">
        <v>0</v>
      </c>
      <c r="G383" s="344" t="s">
        <v>2683</v>
      </c>
      <c r="H383" s="344" t="s">
        <v>972</v>
      </c>
      <c r="I383" s="337" t="s">
        <v>973</v>
      </c>
      <c r="J383" s="337"/>
      <c r="K383" s="350">
        <v>821973.29</v>
      </c>
      <c r="L383" s="350">
        <v>1521832.83</v>
      </c>
    </row>
    <row r="384" spans="1:12">
      <c r="A384" s="153">
        <v>305</v>
      </c>
      <c r="B384" s="337">
        <v>200</v>
      </c>
      <c r="C384" s="337">
        <v>100</v>
      </c>
      <c r="D384" s="336">
        <v>500</v>
      </c>
      <c r="E384" s="336">
        <v>0</v>
      </c>
      <c r="F384" s="336">
        <v>0</v>
      </c>
      <c r="G384" s="353" t="s">
        <v>2684</v>
      </c>
      <c r="H384" s="353" t="s">
        <v>974</v>
      </c>
      <c r="I384" s="336" t="s">
        <v>975</v>
      </c>
      <c r="J384" s="336"/>
      <c r="K384" s="351">
        <v>0</v>
      </c>
      <c r="L384" s="351">
        <v>0</v>
      </c>
    </row>
    <row r="385" spans="1:12">
      <c r="A385" s="153">
        <v>305</v>
      </c>
      <c r="B385" s="337">
        <v>200</v>
      </c>
      <c r="C385" s="337">
        <v>100</v>
      </c>
      <c r="D385" s="336">
        <v>500</v>
      </c>
      <c r="E385" s="152">
        <v>10</v>
      </c>
      <c r="F385" s="152">
        <v>0</v>
      </c>
      <c r="G385" s="344" t="s">
        <v>2685</v>
      </c>
      <c r="H385" s="344" t="s">
        <v>976</v>
      </c>
      <c r="I385" s="337"/>
      <c r="J385" s="337"/>
      <c r="K385" s="357">
        <v>281984.89</v>
      </c>
      <c r="L385" s="357">
        <v>231925.74</v>
      </c>
    </row>
    <row r="386" spans="1:12">
      <c r="A386" s="153">
        <v>305</v>
      </c>
      <c r="B386" s="337">
        <v>200</v>
      </c>
      <c r="C386" s="337">
        <v>100</v>
      </c>
      <c r="D386" s="336">
        <v>500</v>
      </c>
      <c r="E386" s="152">
        <v>20</v>
      </c>
      <c r="F386" s="152">
        <v>0</v>
      </c>
      <c r="G386" s="344" t="s">
        <v>2686</v>
      </c>
      <c r="H386" s="344" t="s">
        <v>977</v>
      </c>
      <c r="I386" s="337"/>
      <c r="J386" s="337"/>
      <c r="K386" s="357">
        <v>0</v>
      </c>
      <c r="L386" s="357">
        <v>6442.19</v>
      </c>
    </row>
    <row r="387" spans="1:12">
      <c r="A387" s="153">
        <v>305</v>
      </c>
      <c r="B387" s="337">
        <v>200</v>
      </c>
      <c r="C387" s="337">
        <v>100</v>
      </c>
      <c r="D387" s="336">
        <v>500</v>
      </c>
      <c r="E387" s="152">
        <v>30</v>
      </c>
      <c r="F387" s="152">
        <v>0</v>
      </c>
      <c r="G387" s="344" t="s">
        <v>2687</v>
      </c>
      <c r="H387" s="344" t="s">
        <v>978</v>
      </c>
      <c r="I387" s="337"/>
      <c r="J387" s="337"/>
      <c r="K387" s="357">
        <v>407.35</v>
      </c>
      <c r="L387" s="357">
        <v>407.35</v>
      </c>
    </row>
    <row r="388" spans="1:12">
      <c r="A388" s="153">
        <v>305</v>
      </c>
      <c r="B388" s="337">
        <v>200</v>
      </c>
      <c r="C388" s="337">
        <v>100</v>
      </c>
      <c r="D388" s="336">
        <v>500</v>
      </c>
      <c r="E388" s="152">
        <v>40</v>
      </c>
      <c r="F388" s="152">
        <v>0</v>
      </c>
      <c r="G388" s="344" t="s">
        <v>2688</v>
      </c>
      <c r="H388" s="344" t="s">
        <v>979</v>
      </c>
      <c r="I388" s="337"/>
      <c r="J388" s="337"/>
      <c r="K388" s="357">
        <v>0</v>
      </c>
      <c r="L388" s="357">
        <v>0</v>
      </c>
    </row>
    <row r="389" spans="1:12">
      <c r="A389" s="153">
        <v>305</v>
      </c>
      <c r="B389" s="337">
        <v>200</v>
      </c>
      <c r="C389" s="337">
        <v>100</v>
      </c>
      <c r="D389" s="336">
        <v>500</v>
      </c>
      <c r="E389" s="152">
        <v>50</v>
      </c>
      <c r="F389" s="152">
        <v>0</v>
      </c>
      <c r="G389" s="344" t="s">
        <v>2689</v>
      </c>
      <c r="H389" s="344" t="s">
        <v>974</v>
      </c>
      <c r="I389" s="337"/>
      <c r="J389" s="337"/>
      <c r="K389" s="357">
        <v>0</v>
      </c>
      <c r="L389" s="357">
        <v>0</v>
      </c>
    </row>
    <row r="390" spans="1:12">
      <c r="A390" s="153">
        <v>305</v>
      </c>
      <c r="B390" s="337">
        <v>200</v>
      </c>
      <c r="C390" s="337">
        <v>100</v>
      </c>
      <c r="D390" s="337">
        <v>550</v>
      </c>
      <c r="E390" s="337">
        <v>0</v>
      </c>
      <c r="F390" s="337">
        <v>0</v>
      </c>
      <c r="G390" s="345" t="s">
        <v>2690</v>
      </c>
      <c r="H390" s="345" t="s">
        <v>980</v>
      </c>
      <c r="I390" s="337" t="s">
        <v>981</v>
      </c>
      <c r="J390" s="336"/>
      <c r="K390" s="351">
        <v>0</v>
      </c>
      <c r="L390" s="351">
        <v>0</v>
      </c>
    </row>
    <row r="391" spans="1:12">
      <c r="A391" s="153">
        <v>305</v>
      </c>
      <c r="B391" s="337">
        <v>200</v>
      </c>
      <c r="C391" s="337">
        <v>100</v>
      </c>
      <c r="D391" s="337">
        <v>550</v>
      </c>
      <c r="E391" s="152">
        <v>10</v>
      </c>
      <c r="F391" s="152">
        <v>0</v>
      </c>
      <c r="G391" s="344" t="s">
        <v>2691</v>
      </c>
      <c r="H391" s="344" t="s">
        <v>982</v>
      </c>
      <c r="I391" s="337" t="s">
        <v>983</v>
      </c>
      <c r="J391" s="337"/>
      <c r="K391" s="350">
        <v>0</v>
      </c>
      <c r="L391" s="350">
        <v>0</v>
      </c>
    </row>
    <row r="392" spans="1:12">
      <c r="A392" s="153">
        <v>305</v>
      </c>
      <c r="B392" s="337">
        <v>200</v>
      </c>
      <c r="C392" s="337">
        <v>100</v>
      </c>
      <c r="D392" s="337">
        <v>550</v>
      </c>
      <c r="E392" s="152">
        <v>20</v>
      </c>
      <c r="F392" s="152">
        <v>0</v>
      </c>
      <c r="G392" s="344" t="s">
        <v>2692</v>
      </c>
      <c r="H392" s="344" t="s">
        <v>984</v>
      </c>
      <c r="I392" s="337" t="s">
        <v>985</v>
      </c>
      <c r="J392" s="337"/>
      <c r="K392" s="350">
        <v>66448.98</v>
      </c>
      <c r="L392" s="350">
        <v>90734.9</v>
      </c>
    </row>
    <row r="393" spans="1:12">
      <c r="A393" s="153">
        <v>305</v>
      </c>
      <c r="B393" s="337">
        <v>200</v>
      </c>
      <c r="C393" s="337">
        <v>100</v>
      </c>
      <c r="D393" s="337">
        <v>600</v>
      </c>
      <c r="E393" s="337">
        <v>0</v>
      </c>
      <c r="F393" s="337">
        <v>0</v>
      </c>
      <c r="G393" s="345" t="s">
        <v>2693</v>
      </c>
      <c r="H393" s="345" t="s">
        <v>986</v>
      </c>
      <c r="I393" s="337" t="s">
        <v>987</v>
      </c>
      <c r="J393" s="336"/>
      <c r="K393" s="351">
        <v>0</v>
      </c>
      <c r="L393" s="351">
        <v>0</v>
      </c>
    </row>
    <row r="394" spans="1:12" ht="25.5">
      <c r="A394" s="153">
        <v>305</v>
      </c>
      <c r="B394" s="337">
        <v>200</v>
      </c>
      <c r="C394" s="337">
        <v>100</v>
      </c>
      <c r="D394" s="337">
        <v>600</v>
      </c>
      <c r="E394" s="152">
        <v>10</v>
      </c>
      <c r="F394" s="152">
        <v>0</v>
      </c>
      <c r="G394" s="344" t="s">
        <v>2694</v>
      </c>
      <c r="H394" s="344" t="s">
        <v>988</v>
      </c>
      <c r="I394" s="346" t="s">
        <v>989</v>
      </c>
      <c r="J394" s="346" t="s">
        <v>1522</v>
      </c>
      <c r="K394" s="350">
        <v>246521.57</v>
      </c>
      <c r="L394" s="350">
        <v>496353</v>
      </c>
    </row>
    <row r="395" spans="1:12">
      <c r="A395" s="153">
        <v>305</v>
      </c>
      <c r="B395" s="337">
        <v>200</v>
      </c>
      <c r="C395" s="337">
        <v>100</v>
      </c>
      <c r="D395" s="337">
        <v>600</v>
      </c>
      <c r="E395" s="337">
        <v>20</v>
      </c>
      <c r="F395" s="337">
        <v>0</v>
      </c>
      <c r="G395" s="345" t="s">
        <v>2695</v>
      </c>
      <c r="H395" s="345" t="s">
        <v>990</v>
      </c>
      <c r="I395" s="337" t="s">
        <v>991</v>
      </c>
      <c r="J395" s="336"/>
      <c r="K395" s="351">
        <v>0</v>
      </c>
      <c r="L395" s="351">
        <v>0</v>
      </c>
    </row>
    <row r="396" spans="1:12">
      <c r="A396" s="153">
        <v>305</v>
      </c>
      <c r="B396" s="337">
        <v>200</v>
      </c>
      <c r="C396" s="337">
        <v>100</v>
      </c>
      <c r="D396" s="337">
        <v>600</v>
      </c>
      <c r="E396" s="337">
        <v>20</v>
      </c>
      <c r="F396" s="152">
        <v>5</v>
      </c>
      <c r="G396" s="344" t="s">
        <v>2696</v>
      </c>
      <c r="H396" s="344" t="s">
        <v>992</v>
      </c>
      <c r="I396" s="337"/>
      <c r="J396" s="337"/>
      <c r="K396" s="357">
        <v>2561.9899999999998</v>
      </c>
      <c r="L396" s="357">
        <v>0</v>
      </c>
    </row>
    <row r="397" spans="1:12">
      <c r="A397" s="153">
        <v>305</v>
      </c>
      <c r="B397" s="337">
        <v>200</v>
      </c>
      <c r="C397" s="337">
        <v>100</v>
      </c>
      <c r="D397" s="337">
        <v>600</v>
      </c>
      <c r="E397" s="337">
        <v>20</v>
      </c>
      <c r="F397" s="152">
        <v>10</v>
      </c>
      <c r="G397" s="344" t="s">
        <v>2697</v>
      </c>
      <c r="H397" s="344" t="s">
        <v>993</v>
      </c>
      <c r="I397" s="337"/>
      <c r="J397" s="337"/>
      <c r="K397" s="350">
        <v>0</v>
      </c>
      <c r="L397" s="350">
        <v>0</v>
      </c>
    </row>
    <row r="398" spans="1:12">
      <c r="A398" s="153">
        <v>305</v>
      </c>
      <c r="B398" s="337">
        <v>200</v>
      </c>
      <c r="C398" s="337">
        <v>100</v>
      </c>
      <c r="D398" s="337">
        <v>600</v>
      </c>
      <c r="E398" s="337">
        <v>30</v>
      </c>
      <c r="F398" s="337">
        <v>0</v>
      </c>
      <c r="G398" s="345" t="s">
        <v>2698</v>
      </c>
      <c r="H398" s="345" t="s">
        <v>994</v>
      </c>
      <c r="I398" s="337" t="s">
        <v>995</v>
      </c>
      <c r="J398" s="336"/>
      <c r="K398" s="351">
        <v>0</v>
      </c>
      <c r="L398" s="351">
        <v>0</v>
      </c>
    </row>
    <row r="399" spans="1:12">
      <c r="A399" s="153">
        <v>305</v>
      </c>
      <c r="B399" s="337">
        <v>200</v>
      </c>
      <c r="C399" s="337">
        <v>100</v>
      </c>
      <c r="D399" s="337">
        <v>600</v>
      </c>
      <c r="E399" s="337">
        <v>30</v>
      </c>
      <c r="F399" s="152">
        <v>5</v>
      </c>
      <c r="G399" s="344" t="s">
        <v>2699</v>
      </c>
      <c r="H399" s="344" t="s">
        <v>996</v>
      </c>
      <c r="I399" s="337"/>
      <c r="J399" s="337"/>
      <c r="K399" s="357">
        <v>299163.90000000002</v>
      </c>
      <c r="L399" s="357">
        <v>254452.28</v>
      </c>
    </row>
    <row r="400" spans="1:12">
      <c r="A400" s="153">
        <v>305</v>
      </c>
      <c r="B400" s="337">
        <v>200</v>
      </c>
      <c r="C400" s="337">
        <v>100</v>
      </c>
      <c r="D400" s="337">
        <v>600</v>
      </c>
      <c r="E400" s="337">
        <v>30</v>
      </c>
      <c r="F400" s="152">
        <v>10</v>
      </c>
      <c r="G400" s="344" t="s">
        <v>2700</v>
      </c>
      <c r="H400" s="344" t="s">
        <v>997</v>
      </c>
      <c r="I400" s="337"/>
      <c r="J400" s="337"/>
      <c r="K400" s="357">
        <v>28600</v>
      </c>
      <c r="L400" s="357">
        <v>28600</v>
      </c>
    </row>
    <row r="401" spans="1:12">
      <c r="A401" s="153">
        <v>305</v>
      </c>
      <c r="B401" s="337">
        <v>200</v>
      </c>
      <c r="C401" s="337">
        <v>100</v>
      </c>
      <c r="D401" s="337">
        <v>600</v>
      </c>
      <c r="E401" s="337">
        <v>30</v>
      </c>
      <c r="F401" s="338">
        <v>15</v>
      </c>
      <c r="G401" s="359" t="s">
        <v>2701</v>
      </c>
      <c r="H401" s="359" t="s">
        <v>998</v>
      </c>
      <c r="I401" s="154"/>
      <c r="J401" s="154"/>
      <c r="K401" s="360">
        <v>19988.45</v>
      </c>
      <c r="L401" s="360">
        <v>17955.400000000001</v>
      </c>
    </row>
    <row r="402" spans="1:12">
      <c r="A402" s="153">
        <v>305</v>
      </c>
      <c r="B402" s="337">
        <v>200</v>
      </c>
      <c r="C402" s="337">
        <v>100</v>
      </c>
      <c r="D402" s="337">
        <v>600</v>
      </c>
      <c r="E402" s="337">
        <v>30</v>
      </c>
      <c r="F402" s="338">
        <v>20</v>
      </c>
      <c r="G402" s="359" t="s">
        <v>2702</v>
      </c>
      <c r="H402" s="359" t="s">
        <v>999</v>
      </c>
      <c r="I402" s="154"/>
      <c r="J402" s="154"/>
      <c r="K402" s="360">
        <v>0</v>
      </c>
      <c r="L402" s="360">
        <v>0</v>
      </c>
    </row>
    <row r="403" spans="1:12">
      <c r="A403" s="153">
        <v>305</v>
      </c>
      <c r="B403" s="337">
        <v>200</v>
      </c>
      <c r="C403" s="337">
        <v>100</v>
      </c>
      <c r="D403" s="337">
        <v>600</v>
      </c>
      <c r="E403" s="337">
        <v>30</v>
      </c>
      <c r="F403" s="152">
        <v>25</v>
      </c>
      <c r="G403" s="344" t="s">
        <v>2703</v>
      </c>
      <c r="H403" s="344" t="s">
        <v>1000</v>
      </c>
      <c r="I403" s="337"/>
      <c r="J403" s="337"/>
      <c r="K403" s="357">
        <v>0</v>
      </c>
      <c r="L403" s="357">
        <v>0</v>
      </c>
    </row>
    <row r="404" spans="1:12">
      <c r="A404" s="153">
        <v>305</v>
      </c>
      <c r="B404" s="337">
        <v>200</v>
      </c>
      <c r="C404" s="337">
        <v>100</v>
      </c>
      <c r="D404" s="337">
        <v>600</v>
      </c>
      <c r="E404" s="337">
        <v>30</v>
      </c>
      <c r="F404" s="152">
        <v>30</v>
      </c>
      <c r="G404" s="344" t="s">
        <v>2704</v>
      </c>
      <c r="H404" s="344" t="s">
        <v>1001</v>
      </c>
      <c r="I404" s="337"/>
      <c r="J404" s="337"/>
      <c r="K404" s="357">
        <v>0</v>
      </c>
      <c r="L404" s="357">
        <v>1586</v>
      </c>
    </row>
    <row r="405" spans="1:12">
      <c r="A405" s="153">
        <v>305</v>
      </c>
      <c r="B405" s="337">
        <v>200</v>
      </c>
      <c r="C405" s="337">
        <v>100</v>
      </c>
      <c r="D405" s="337">
        <v>600</v>
      </c>
      <c r="E405" s="337">
        <v>30</v>
      </c>
      <c r="F405" s="152">
        <v>35</v>
      </c>
      <c r="G405" s="344" t="s">
        <v>2705</v>
      </c>
      <c r="H405" s="344" t="s">
        <v>1002</v>
      </c>
      <c r="I405" s="337"/>
      <c r="J405" s="337"/>
      <c r="K405" s="357">
        <v>53044.81</v>
      </c>
      <c r="L405" s="357">
        <v>62066.89</v>
      </c>
    </row>
    <row r="406" spans="1:12">
      <c r="A406" s="153">
        <v>305</v>
      </c>
      <c r="B406" s="337">
        <v>200</v>
      </c>
      <c r="C406" s="337">
        <v>100</v>
      </c>
      <c r="D406" s="337">
        <v>600</v>
      </c>
      <c r="E406" s="337">
        <v>30</v>
      </c>
      <c r="F406" s="152">
        <v>40</v>
      </c>
      <c r="G406" s="344" t="s">
        <v>2706</v>
      </c>
      <c r="H406" s="344" t="s">
        <v>1003</v>
      </c>
      <c r="I406" s="337"/>
      <c r="J406" s="337"/>
      <c r="K406" s="357">
        <v>258.60000000000002</v>
      </c>
      <c r="L406" s="357">
        <v>347.5</v>
      </c>
    </row>
    <row r="407" spans="1:12">
      <c r="A407" s="153">
        <v>305</v>
      </c>
      <c r="B407" s="337">
        <v>200</v>
      </c>
      <c r="C407" s="337">
        <v>100</v>
      </c>
      <c r="D407" s="337">
        <v>600</v>
      </c>
      <c r="E407" s="337">
        <v>30</v>
      </c>
      <c r="F407" s="152">
        <v>45</v>
      </c>
      <c r="G407" s="344" t="s">
        <v>3447</v>
      </c>
      <c r="H407" s="344" t="s">
        <v>1004</v>
      </c>
      <c r="I407" s="337"/>
      <c r="J407" s="337"/>
      <c r="K407" s="357">
        <v>218</v>
      </c>
      <c r="L407" s="357">
        <v>205.61</v>
      </c>
    </row>
    <row r="408" spans="1:12">
      <c r="A408" s="153">
        <v>305</v>
      </c>
      <c r="B408" s="337">
        <v>200</v>
      </c>
      <c r="C408" s="337">
        <v>100</v>
      </c>
      <c r="D408" s="337">
        <v>600</v>
      </c>
      <c r="E408" s="337">
        <v>30</v>
      </c>
      <c r="F408" s="152">
        <v>50</v>
      </c>
      <c r="G408" s="344" t="s">
        <v>3448</v>
      </c>
      <c r="H408" s="344" t="s">
        <v>1005</v>
      </c>
      <c r="I408" s="337"/>
      <c r="J408" s="337"/>
      <c r="K408" s="357">
        <v>405843.75</v>
      </c>
      <c r="L408" s="357">
        <v>482426.05</v>
      </c>
    </row>
    <row r="409" spans="1:12">
      <c r="A409" s="153">
        <v>305</v>
      </c>
      <c r="B409" s="337">
        <v>200</v>
      </c>
      <c r="C409" s="337">
        <v>100</v>
      </c>
      <c r="D409" s="337">
        <v>600</v>
      </c>
      <c r="E409" s="337">
        <v>30</v>
      </c>
      <c r="F409" s="152">
        <v>55</v>
      </c>
      <c r="G409" s="344" t="s">
        <v>2707</v>
      </c>
      <c r="H409" s="344" t="s">
        <v>1006</v>
      </c>
      <c r="I409" s="337"/>
      <c r="J409" s="337"/>
      <c r="K409" s="357">
        <v>8277.23</v>
      </c>
      <c r="L409" s="357">
        <v>9031.01</v>
      </c>
    </row>
    <row r="410" spans="1:12">
      <c r="A410" s="153">
        <v>305</v>
      </c>
      <c r="B410" s="337">
        <v>200</v>
      </c>
      <c r="C410" s="337">
        <v>100</v>
      </c>
      <c r="D410" s="337">
        <v>600</v>
      </c>
      <c r="E410" s="337">
        <v>30</v>
      </c>
      <c r="F410" s="152">
        <v>60</v>
      </c>
      <c r="G410" s="344" t="s">
        <v>2708</v>
      </c>
      <c r="H410" s="344" t="s">
        <v>1007</v>
      </c>
      <c r="I410" s="337"/>
      <c r="J410" s="337"/>
      <c r="K410" s="357">
        <v>0</v>
      </c>
      <c r="L410" s="357">
        <v>0</v>
      </c>
    </row>
    <row r="411" spans="1:12">
      <c r="A411" s="153">
        <v>305</v>
      </c>
      <c r="B411" s="337">
        <v>200</v>
      </c>
      <c r="C411" s="337">
        <v>100</v>
      </c>
      <c r="D411" s="337">
        <v>600</v>
      </c>
      <c r="E411" s="337">
        <v>30</v>
      </c>
      <c r="F411" s="152">
        <v>65</v>
      </c>
      <c r="G411" s="344" t="s">
        <v>2709</v>
      </c>
      <c r="H411" s="344" t="s">
        <v>1008</v>
      </c>
      <c r="I411" s="337"/>
      <c r="J411" s="337"/>
      <c r="K411" s="357">
        <v>143270.41</v>
      </c>
      <c r="L411" s="357">
        <v>85109.15</v>
      </c>
    </row>
    <row r="412" spans="1:12">
      <c r="A412" s="153">
        <v>305</v>
      </c>
      <c r="B412" s="337">
        <v>200</v>
      </c>
      <c r="C412" s="337">
        <v>100</v>
      </c>
      <c r="D412" s="337">
        <v>600</v>
      </c>
      <c r="E412" s="337">
        <v>30</v>
      </c>
      <c r="F412" s="152">
        <v>80</v>
      </c>
      <c r="G412" s="344" t="s">
        <v>2710</v>
      </c>
      <c r="H412" s="344" t="s">
        <v>1009</v>
      </c>
      <c r="I412" s="337"/>
      <c r="J412" s="337"/>
      <c r="K412" s="350">
        <v>0</v>
      </c>
      <c r="L412" s="350">
        <v>0</v>
      </c>
    </row>
    <row r="413" spans="1:12">
      <c r="A413" s="153">
        <v>305</v>
      </c>
      <c r="B413" s="337">
        <v>200</v>
      </c>
      <c r="C413" s="337">
        <v>100</v>
      </c>
      <c r="D413" s="337">
        <v>600</v>
      </c>
      <c r="E413" s="337">
        <v>30</v>
      </c>
      <c r="F413" s="152">
        <v>90</v>
      </c>
      <c r="G413" s="344" t="s">
        <v>2711</v>
      </c>
      <c r="H413" s="344" t="s">
        <v>994</v>
      </c>
      <c r="I413" s="337"/>
      <c r="J413" s="337"/>
      <c r="K413" s="357">
        <v>2119358.04</v>
      </c>
      <c r="L413" s="357">
        <v>1812455.37</v>
      </c>
    </row>
    <row r="414" spans="1:12" ht="25.5">
      <c r="A414" s="153">
        <v>305</v>
      </c>
      <c r="B414" s="337">
        <v>200</v>
      </c>
      <c r="C414" s="337">
        <v>200</v>
      </c>
      <c r="D414" s="337">
        <v>0</v>
      </c>
      <c r="E414" s="337">
        <v>0</v>
      </c>
      <c r="F414" s="337">
        <v>0</v>
      </c>
      <c r="G414" s="345" t="s">
        <v>2712</v>
      </c>
      <c r="H414" s="345" t="s">
        <v>1010</v>
      </c>
      <c r="I414" s="346" t="s">
        <v>1011</v>
      </c>
      <c r="J414" s="348"/>
      <c r="K414" s="351">
        <v>0</v>
      </c>
      <c r="L414" s="351">
        <v>0</v>
      </c>
    </row>
    <row r="415" spans="1:12" ht="25.5">
      <c r="A415" s="153">
        <v>305</v>
      </c>
      <c r="B415" s="337">
        <v>200</v>
      </c>
      <c r="C415" s="337">
        <v>200</v>
      </c>
      <c r="D415" s="337">
        <v>100</v>
      </c>
      <c r="E415" s="152">
        <v>0</v>
      </c>
      <c r="F415" s="152">
        <v>0</v>
      </c>
      <c r="G415" s="344" t="s">
        <v>2713</v>
      </c>
      <c r="H415" s="344" t="s">
        <v>1012</v>
      </c>
      <c r="I415" s="346" t="s">
        <v>1013</v>
      </c>
      <c r="J415" s="346" t="s">
        <v>1522</v>
      </c>
      <c r="K415" s="350">
        <v>11980.87</v>
      </c>
      <c r="L415" s="350">
        <v>37556.639999999999</v>
      </c>
    </row>
    <row r="416" spans="1:12" ht="25.5">
      <c r="A416" s="153">
        <v>305</v>
      </c>
      <c r="B416" s="337">
        <v>200</v>
      </c>
      <c r="C416" s="337">
        <v>200</v>
      </c>
      <c r="D416" s="152">
        <v>200</v>
      </c>
      <c r="E416" s="152">
        <v>0</v>
      </c>
      <c r="F416" s="152">
        <v>0</v>
      </c>
      <c r="G416" s="344" t="s">
        <v>2714</v>
      </c>
      <c r="H416" s="344" t="s">
        <v>1014</v>
      </c>
      <c r="I416" s="337" t="s">
        <v>1015</v>
      </c>
      <c r="J416" s="337"/>
      <c r="K416" s="350">
        <v>0</v>
      </c>
      <c r="L416" s="350">
        <v>0</v>
      </c>
    </row>
    <row r="417" spans="1:12" ht="25.5">
      <c r="A417" s="153">
        <v>305</v>
      </c>
      <c r="B417" s="337">
        <v>200</v>
      </c>
      <c r="C417" s="337">
        <v>200</v>
      </c>
      <c r="D417" s="337">
        <v>300</v>
      </c>
      <c r="E417" s="337">
        <v>0</v>
      </c>
      <c r="F417" s="337">
        <v>0</v>
      </c>
      <c r="G417" s="345" t="s">
        <v>2715</v>
      </c>
      <c r="H417" s="345" t="s">
        <v>1016</v>
      </c>
      <c r="I417" s="337" t="s">
        <v>1017</v>
      </c>
      <c r="J417" s="336"/>
      <c r="K417" s="351">
        <v>0</v>
      </c>
      <c r="L417" s="351">
        <v>0</v>
      </c>
    </row>
    <row r="418" spans="1:12">
      <c r="A418" s="153">
        <v>305</v>
      </c>
      <c r="B418" s="337">
        <v>200</v>
      </c>
      <c r="C418" s="337">
        <v>200</v>
      </c>
      <c r="D418" s="337">
        <v>300</v>
      </c>
      <c r="E418" s="337">
        <v>10</v>
      </c>
      <c r="F418" s="337">
        <v>0</v>
      </c>
      <c r="G418" s="345" t="s">
        <v>2716</v>
      </c>
      <c r="H418" s="345" t="s">
        <v>1018</v>
      </c>
      <c r="I418" s="337" t="s">
        <v>1019</v>
      </c>
      <c r="J418" s="336"/>
      <c r="K418" s="351">
        <v>0</v>
      </c>
      <c r="L418" s="351">
        <v>0</v>
      </c>
    </row>
    <row r="419" spans="1:12">
      <c r="A419" s="153">
        <v>305</v>
      </c>
      <c r="B419" s="337">
        <v>200</v>
      </c>
      <c r="C419" s="337">
        <v>200</v>
      </c>
      <c r="D419" s="337">
        <v>300</v>
      </c>
      <c r="E419" s="337">
        <v>10</v>
      </c>
      <c r="F419" s="152">
        <v>5</v>
      </c>
      <c r="G419" s="344" t="s">
        <v>2717</v>
      </c>
      <c r="H419" s="344" t="s">
        <v>1020</v>
      </c>
      <c r="I419" s="337"/>
      <c r="J419" s="337"/>
      <c r="K419" s="357">
        <v>8664.41</v>
      </c>
      <c r="L419" s="357">
        <v>7477.08</v>
      </c>
    </row>
    <row r="420" spans="1:12">
      <c r="A420" s="153">
        <v>305</v>
      </c>
      <c r="B420" s="337">
        <v>200</v>
      </c>
      <c r="C420" s="337">
        <v>200</v>
      </c>
      <c r="D420" s="337">
        <v>300</v>
      </c>
      <c r="E420" s="337">
        <v>10</v>
      </c>
      <c r="F420" s="152">
        <v>10</v>
      </c>
      <c r="G420" s="344" t="s">
        <v>2718</v>
      </c>
      <c r="H420" s="344" t="s">
        <v>1021</v>
      </c>
      <c r="I420" s="337"/>
      <c r="J420" s="337"/>
      <c r="K420" s="357">
        <v>0</v>
      </c>
      <c r="L420" s="357">
        <v>0</v>
      </c>
    </row>
    <row r="421" spans="1:12">
      <c r="A421" s="153">
        <v>305</v>
      </c>
      <c r="B421" s="337">
        <v>200</v>
      </c>
      <c r="C421" s="337">
        <v>200</v>
      </c>
      <c r="D421" s="337">
        <v>300</v>
      </c>
      <c r="E421" s="337">
        <v>10</v>
      </c>
      <c r="F421" s="152">
        <v>15</v>
      </c>
      <c r="G421" s="344" t="s">
        <v>2719</v>
      </c>
      <c r="H421" s="344" t="s">
        <v>1022</v>
      </c>
      <c r="I421" s="337"/>
      <c r="J421" s="337"/>
      <c r="K421" s="357">
        <v>0</v>
      </c>
      <c r="L421" s="357">
        <v>1489.73</v>
      </c>
    </row>
    <row r="422" spans="1:12">
      <c r="A422" s="153">
        <v>305</v>
      </c>
      <c r="B422" s="337">
        <v>200</v>
      </c>
      <c r="C422" s="337">
        <v>200</v>
      </c>
      <c r="D422" s="337">
        <v>300</v>
      </c>
      <c r="E422" s="337">
        <v>10</v>
      </c>
      <c r="F422" s="152">
        <v>20</v>
      </c>
      <c r="G422" s="344" t="s">
        <v>2720</v>
      </c>
      <c r="H422" s="344" t="s">
        <v>1023</v>
      </c>
      <c r="I422" s="337"/>
      <c r="J422" s="337"/>
      <c r="K422" s="357">
        <v>0</v>
      </c>
      <c r="L422" s="357">
        <v>0</v>
      </c>
    </row>
    <row r="423" spans="1:12">
      <c r="A423" s="153">
        <v>305</v>
      </c>
      <c r="B423" s="337">
        <v>200</v>
      </c>
      <c r="C423" s="337">
        <v>200</v>
      </c>
      <c r="D423" s="337">
        <v>300</v>
      </c>
      <c r="E423" s="337">
        <v>10</v>
      </c>
      <c r="F423" s="152">
        <v>90</v>
      </c>
      <c r="G423" s="344" t="s">
        <v>2721</v>
      </c>
      <c r="H423" s="344" t="s">
        <v>1024</v>
      </c>
      <c r="I423" s="337"/>
      <c r="J423" s="337"/>
      <c r="K423" s="357">
        <v>0</v>
      </c>
      <c r="L423" s="357">
        <v>0</v>
      </c>
    </row>
    <row r="424" spans="1:12" ht="25.5">
      <c r="A424" s="153">
        <v>305</v>
      </c>
      <c r="B424" s="337">
        <v>200</v>
      </c>
      <c r="C424" s="337">
        <v>200</v>
      </c>
      <c r="D424" s="337">
        <v>300</v>
      </c>
      <c r="E424" s="152">
        <v>20</v>
      </c>
      <c r="F424" s="152">
        <v>0</v>
      </c>
      <c r="G424" s="344" t="s">
        <v>2722</v>
      </c>
      <c r="H424" s="344" t="s">
        <v>1025</v>
      </c>
      <c r="I424" s="337" t="s">
        <v>1026</v>
      </c>
      <c r="J424" s="337"/>
      <c r="K424" s="350">
        <v>0</v>
      </c>
      <c r="L424" s="350">
        <v>0</v>
      </c>
    </row>
    <row r="425" spans="1:12" ht="25.5">
      <c r="A425" s="153">
        <v>305</v>
      </c>
      <c r="B425" s="337">
        <v>200</v>
      </c>
      <c r="C425" s="337">
        <v>200</v>
      </c>
      <c r="D425" s="337">
        <v>300</v>
      </c>
      <c r="E425" s="152">
        <v>30</v>
      </c>
      <c r="F425" s="152">
        <v>0</v>
      </c>
      <c r="G425" s="344" t="s">
        <v>2723</v>
      </c>
      <c r="H425" s="344" t="s">
        <v>1027</v>
      </c>
      <c r="I425" s="337" t="s">
        <v>1028</v>
      </c>
      <c r="J425" s="337"/>
      <c r="K425" s="350">
        <v>0</v>
      </c>
      <c r="L425" s="350">
        <v>0</v>
      </c>
    </row>
    <row r="426" spans="1:12">
      <c r="A426" s="153">
        <v>305</v>
      </c>
      <c r="B426" s="337">
        <v>200</v>
      </c>
      <c r="C426" s="337">
        <v>200</v>
      </c>
      <c r="D426" s="337">
        <v>300</v>
      </c>
      <c r="E426" s="152">
        <v>40</v>
      </c>
      <c r="F426" s="152">
        <v>0</v>
      </c>
      <c r="G426" s="344" t="s">
        <v>2724</v>
      </c>
      <c r="H426" s="344" t="s">
        <v>1029</v>
      </c>
      <c r="I426" s="337" t="s">
        <v>1030</v>
      </c>
      <c r="J426" s="337"/>
      <c r="K426" s="350">
        <v>278211.52</v>
      </c>
      <c r="L426" s="350">
        <v>621636.24</v>
      </c>
    </row>
    <row r="427" spans="1:12" ht="25.5">
      <c r="A427" s="153">
        <v>305</v>
      </c>
      <c r="B427" s="337">
        <v>200</v>
      </c>
      <c r="C427" s="337">
        <v>200</v>
      </c>
      <c r="D427" s="337">
        <v>300</v>
      </c>
      <c r="E427" s="337">
        <v>50</v>
      </c>
      <c r="F427" s="337">
        <v>0</v>
      </c>
      <c r="G427" s="345" t="s">
        <v>2725</v>
      </c>
      <c r="H427" s="345" t="s">
        <v>1031</v>
      </c>
      <c r="I427" s="337" t="s">
        <v>1032</v>
      </c>
      <c r="J427" s="336"/>
      <c r="K427" s="351">
        <v>0</v>
      </c>
      <c r="L427" s="351">
        <v>0</v>
      </c>
    </row>
    <row r="428" spans="1:12">
      <c r="A428" s="153">
        <v>305</v>
      </c>
      <c r="B428" s="337">
        <v>200</v>
      </c>
      <c r="C428" s="337">
        <v>200</v>
      </c>
      <c r="D428" s="337">
        <v>300</v>
      </c>
      <c r="E428" s="337">
        <v>50</v>
      </c>
      <c r="F428" s="152">
        <v>10</v>
      </c>
      <c r="G428" s="344" t="s">
        <v>2726</v>
      </c>
      <c r="H428" s="344" t="s">
        <v>1033</v>
      </c>
      <c r="I428" s="337"/>
      <c r="J428" s="337"/>
      <c r="K428" s="357">
        <v>0</v>
      </c>
      <c r="L428" s="357">
        <v>0</v>
      </c>
    </row>
    <row r="429" spans="1:12" ht="25.5">
      <c r="A429" s="153">
        <v>305</v>
      </c>
      <c r="B429" s="337">
        <v>200</v>
      </c>
      <c r="C429" s="337">
        <v>200</v>
      </c>
      <c r="D429" s="337">
        <v>300</v>
      </c>
      <c r="E429" s="337">
        <v>50</v>
      </c>
      <c r="F429" s="152">
        <v>20</v>
      </c>
      <c r="G429" s="344" t="s">
        <v>2727</v>
      </c>
      <c r="H429" s="344" t="s">
        <v>1034</v>
      </c>
      <c r="I429" s="337"/>
      <c r="J429" s="337"/>
      <c r="K429" s="357">
        <v>26948.74</v>
      </c>
      <c r="L429" s="357">
        <v>36117.4</v>
      </c>
    </row>
    <row r="430" spans="1:12">
      <c r="A430" s="153">
        <v>305</v>
      </c>
      <c r="B430" s="337">
        <v>200</v>
      </c>
      <c r="C430" s="337">
        <v>200</v>
      </c>
      <c r="D430" s="337">
        <v>300</v>
      </c>
      <c r="E430" s="337">
        <v>50</v>
      </c>
      <c r="F430" s="152">
        <v>30</v>
      </c>
      <c r="G430" s="344" t="s">
        <v>2728</v>
      </c>
      <c r="H430" s="344" t="s">
        <v>1035</v>
      </c>
      <c r="I430" s="337"/>
      <c r="J430" s="337"/>
      <c r="K430" s="357">
        <v>0</v>
      </c>
      <c r="L430" s="357">
        <v>0</v>
      </c>
    </row>
    <row r="431" spans="1:12">
      <c r="A431" s="153">
        <v>305</v>
      </c>
      <c r="B431" s="337">
        <v>200</v>
      </c>
      <c r="C431" s="337">
        <v>200</v>
      </c>
      <c r="D431" s="337">
        <v>300</v>
      </c>
      <c r="E431" s="337">
        <v>50</v>
      </c>
      <c r="F431" s="152">
        <v>40</v>
      </c>
      <c r="G431" s="344" t="s">
        <v>2729</v>
      </c>
      <c r="H431" s="344" t="s">
        <v>1036</v>
      </c>
      <c r="I431" s="337"/>
      <c r="J431" s="337"/>
      <c r="K431" s="357">
        <v>2847.5</v>
      </c>
      <c r="L431" s="357">
        <v>5862.5</v>
      </c>
    </row>
    <row r="432" spans="1:12" ht="25.5">
      <c r="A432" s="153">
        <v>305</v>
      </c>
      <c r="B432" s="337">
        <v>200</v>
      </c>
      <c r="C432" s="337">
        <v>200</v>
      </c>
      <c r="D432" s="337">
        <v>300</v>
      </c>
      <c r="E432" s="337">
        <v>50</v>
      </c>
      <c r="F432" s="152">
        <v>90</v>
      </c>
      <c r="G432" s="344" t="s">
        <v>2730</v>
      </c>
      <c r="H432" s="344" t="s">
        <v>1031</v>
      </c>
      <c r="I432" s="337"/>
      <c r="J432" s="337"/>
      <c r="K432" s="357">
        <v>0</v>
      </c>
      <c r="L432" s="357">
        <v>0</v>
      </c>
    </row>
    <row r="433" spans="1:12" ht="51">
      <c r="A433" s="153">
        <v>305</v>
      </c>
      <c r="B433" s="337">
        <v>200</v>
      </c>
      <c r="C433" s="337">
        <v>200</v>
      </c>
      <c r="D433" s="337">
        <v>300</v>
      </c>
      <c r="E433" s="337">
        <v>60</v>
      </c>
      <c r="F433" s="152">
        <v>0</v>
      </c>
      <c r="G433" s="344" t="s">
        <v>2731</v>
      </c>
      <c r="H433" s="344" t="s">
        <v>1037</v>
      </c>
      <c r="I433" s="337" t="s">
        <v>1038</v>
      </c>
      <c r="J433" s="337"/>
      <c r="K433" s="357">
        <v>0</v>
      </c>
      <c r="L433" s="357">
        <v>0</v>
      </c>
    </row>
    <row r="434" spans="1:12" ht="25.5">
      <c r="A434" s="153">
        <v>305</v>
      </c>
      <c r="B434" s="337">
        <v>200</v>
      </c>
      <c r="C434" s="337">
        <v>200</v>
      </c>
      <c r="D434" s="337">
        <v>400</v>
      </c>
      <c r="E434" s="337">
        <v>0</v>
      </c>
      <c r="F434" s="337">
        <v>0</v>
      </c>
      <c r="G434" s="345" t="s">
        <v>2732</v>
      </c>
      <c r="H434" s="345" t="s">
        <v>1039</v>
      </c>
      <c r="I434" s="346" t="s">
        <v>1040</v>
      </c>
      <c r="J434" s="348"/>
      <c r="K434" s="351">
        <v>0</v>
      </c>
      <c r="L434" s="351">
        <v>0</v>
      </c>
    </row>
    <row r="435" spans="1:12" ht="38.25">
      <c r="A435" s="153">
        <v>305</v>
      </c>
      <c r="B435" s="337">
        <v>200</v>
      </c>
      <c r="C435" s="337">
        <v>200</v>
      </c>
      <c r="D435" s="337">
        <v>400</v>
      </c>
      <c r="E435" s="152">
        <v>10</v>
      </c>
      <c r="F435" s="152">
        <v>0</v>
      </c>
      <c r="G435" s="344" t="s">
        <v>2733</v>
      </c>
      <c r="H435" s="344" t="s">
        <v>1041</v>
      </c>
      <c r="I435" s="346" t="s">
        <v>1042</v>
      </c>
      <c r="J435" s="346" t="s">
        <v>1522</v>
      </c>
      <c r="K435" s="350">
        <v>0</v>
      </c>
      <c r="L435" s="350">
        <v>7321.16</v>
      </c>
    </row>
    <row r="436" spans="1:12" ht="38.25">
      <c r="A436" s="153">
        <v>305</v>
      </c>
      <c r="B436" s="337">
        <v>200</v>
      </c>
      <c r="C436" s="337">
        <v>200</v>
      </c>
      <c r="D436" s="337">
        <v>400</v>
      </c>
      <c r="E436" s="152">
        <v>20</v>
      </c>
      <c r="F436" s="152">
        <v>0</v>
      </c>
      <c r="G436" s="344" t="s">
        <v>2734</v>
      </c>
      <c r="H436" s="344" t="s">
        <v>1043</v>
      </c>
      <c r="I436" s="337" t="s">
        <v>1044</v>
      </c>
      <c r="J436" s="337"/>
      <c r="K436" s="350">
        <v>0</v>
      </c>
      <c r="L436" s="350">
        <v>10556.4</v>
      </c>
    </row>
    <row r="437" spans="1:12" ht="25.5">
      <c r="A437" s="153">
        <v>305</v>
      </c>
      <c r="B437" s="337">
        <v>200</v>
      </c>
      <c r="C437" s="337">
        <v>200</v>
      </c>
      <c r="D437" s="337">
        <v>400</v>
      </c>
      <c r="E437" s="152">
        <v>30</v>
      </c>
      <c r="F437" s="152">
        <v>0</v>
      </c>
      <c r="G437" s="344" t="s">
        <v>2735</v>
      </c>
      <c r="H437" s="344" t="s">
        <v>1045</v>
      </c>
      <c r="I437" s="337" t="s">
        <v>1046</v>
      </c>
      <c r="J437" s="337" t="s">
        <v>1571</v>
      </c>
      <c r="K437" s="350">
        <v>0</v>
      </c>
      <c r="L437" s="350">
        <v>0</v>
      </c>
    </row>
    <row r="438" spans="1:12">
      <c r="A438" s="153">
        <v>305</v>
      </c>
      <c r="B438" s="337">
        <v>200</v>
      </c>
      <c r="C438" s="337">
        <v>300</v>
      </c>
      <c r="D438" s="337">
        <v>0</v>
      </c>
      <c r="E438" s="337">
        <v>0</v>
      </c>
      <c r="F438" s="337">
        <v>0</v>
      </c>
      <c r="G438" s="345" t="s">
        <v>2736</v>
      </c>
      <c r="H438" s="345" t="s">
        <v>1047</v>
      </c>
      <c r="I438" s="337" t="s">
        <v>1048</v>
      </c>
      <c r="J438" s="336"/>
      <c r="K438" s="351">
        <v>0</v>
      </c>
      <c r="L438" s="351">
        <v>0</v>
      </c>
    </row>
    <row r="439" spans="1:12">
      <c r="A439" s="153">
        <v>305</v>
      </c>
      <c r="B439" s="337">
        <v>200</v>
      </c>
      <c r="C439" s="337">
        <v>300</v>
      </c>
      <c r="D439" s="152">
        <v>100</v>
      </c>
      <c r="E439" s="152">
        <v>0</v>
      </c>
      <c r="F439" s="152">
        <v>0</v>
      </c>
      <c r="G439" s="344" t="s">
        <v>2737</v>
      </c>
      <c r="H439" s="344" t="s">
        <v>1049</v>
      </c>
      <c r="I439" s="337" t="s">
        <v>1050</v>
      </c>
      <c r="J439" s="337"/>
      <c r="K439" s="350">
        <v>2291.5700000000002</v>
      </c>
      <c r="L439" s="350">
        <v>6378.3</v>
      </c>
    </row>
    <row r="440" spans="1:12">
      <c r="A440" s="153">
        <v>305</v>
      </c>
      <c r="B440" s="337">
        <v>200</v>
      </c>
      <c r="C440" s="337">
        <v>300</v>
      </c>
      <c r="D440" s="152">
        <v>200</v>
      </c>
      <c r="E440" s="152">
        <v>0</v>
      </c>
      <c r="F440" s="152">
        <v>0</v>
      </c>
      <c r="G440" s="344" t="s">
        <v>2738</v>
      </c>
      <c r="H440" s="344" t="s">
        <v>1051</v>
      </c>
      <c r="I440" s="337" t="s">
        <v>1052</v>
      </c>
      <c r="J440" s="337"/>
      <c r="K440" s="350">
        <v>108450.06</v>
      </c>
      <c r="L440" s="350">
        <v>96729.93</v>
      </c>
    </row>
    <row r="441" spans="1:12">
      <c r="A441" s="150">
        <v>310</v>
      </c>
      <c r="B441" s="57">
        <v>0</v>
      </c>
      <c r="C441" s="57">
        <v>0</v>
      </c>
      <c r="D441" s="57">
        <v>0</v>
      </c>
      <c r="E441" s="57">
        <v>0</v>
      </c>
      <c r="F441" s="57">
        <v>0</v>
      </c>
      <c r="G441" s="355">
        <v>310</v>
      </c>
      <c r="H441" s="355" t="s">
        <v>1053</v>
      </c>
      <c r="I441" s="57"/>
      <c r="J441" s="57"/>
      <c r="K441" s="362">
        <v>0</v>
      </c>
      <c r="L441" s="362">
        <v>0</v>
      </c>
    </row>
    <row r="442" spans="1:12" ht="25.5">
      <c r="A442" s="153">
        <v>310</v>
      </c>
      <c r="B442" s="152">
        <v>100</v>
      </c>
      <c r="C442" s="152">
        <v>0</v>
      </c>
      <c r="D442" s="152">
        <v>0</v>
      </c>
      <c r="E442" s="152">
        <v>0</v>
      </c>
      <c r="F442" s="152">
        <v>0</v>
      </c>
      <c r="G442" s="344" t="s">
        <v>2739</v>
      </c>
      <c r="H442" s="344" t="s">
        <v>1054</v>
      </c>
      <c r="I442" s="337" t="s">
        <v>1055</v>
      </c>
      <c r="J442" s="337"/>
      <c r="K442" s="350">
        <v>63376.480000000003</v>
      </c>
      <c r="L442" s="350">
        <v>58945.05</v>
      </c>
    </row>
    <row r="443" spans="1:12">
      <c r="A443" s="153">
        <v>310</v>
      </c>
      <c r="B443" s="337">
        <v>200</v>
      </c>
      <c r="C443" s="337">
        <v>0</v>
      </c>
      <c r="D443" s="337">
        <v>0</v>
      </c>
      <c r="E443" s="337">
        <v>0</v>
      </c>
      <c r="F443" s="337">
        <v>0</v>
      </c>
      <c r="G443" s="345" t="s">
        <v>2740</v>
      </c>
      <c r="H443" s="345" t="s">
        <v>1056</v>
      </c>
      <c r="I443" s="337" t="s">
        <v>1057</v>
      </c>
      <c r="J443" s="336"/>
      <c r="K443" s="351">
        <v>0</v>
      </c>
      <c r="L443" s="351">
        <v>0</v>
      </c>
    </row>
    <row r="444" spans="1:12">
      <c r="A444" s="153">
        <v>310</v>
      </c>
      <c r="B444" s="337">
        <v>200</v>
      </c>
      <c r="C444" s="152">
        <v>100</v>
      </c>
      <c r="D444" s="152">
        <v>0</v>
      </c>
      <c r="E444" s="152">
        <v>0</v>
      </c>
      <c r="F444" s="152">
        <v>0</v>
      </c>
      <c r="G444" s="344" t="s">
        <v>2741</v>
      </c>
      <c r="H444" s="344" t="s">
        <v>1058</v>
      </c>
      <c r="I444" s="337"/>
      <c r="J444" s="337"/>
      <c r="K444" s="357">
        <v>40088</v>
      </c>
      <c r="L444" s="357">
        <v>36319.589999999997</v>
      </c>
    </row>
    <row r="445" spans="1:12">
      <c r="A445" s="153">
        <v>310</v>
      </c>
      <c r="B445" s="337">
        <v>200</v>
      </c>
      <c r="C445" s="152">
        <v>200</v>
      </c>
      <c r="D445" s="152">
        <v>0</v>
      </c>
      <c r="E445" s="152">
        <v>0</v>
      </c>
      <c r="F445" s="152">
        <v>0</v>
      </c>
      <c r="G445" s="344" t="s">
        <v>2742</v>
      </c>
      <c r="H445" s="344" t="s">
        <v>1059</v>
      </c>
      <c r="I445" s="337"/>
      <c r="J445" s="337"/>
      <c r="K445" s="357">
        <v>169292.94</v>
      </c>
      <c r="L445" s="357">
        <v>173710.95</v>
      </c>
    </row>
    <row r="446" spans="1:12" ht="25.5">
      <c r="A446" s="153">
        <v>310</v>
      </c>
      <c r="B446" s="337">
        <v>200</v>
      </c>
      <c r="C446" s="152">
        <v>300</v>
      </c>
      <c r="D446" s="152">
        <v>0</v>
      </c>
      <c r="E446" s="152">
        <v>0</v>
      </c>
      <c r="F446" s="152">
        <v>0</v>
      </c>
      <c r="G446" s="344" t="s">
        <v>2743</v>
      </c>
      <c r="H446" s="344" t="s">
        <v>1060</v>
      </c>
      <c r="I446" s="337"/>
      <c r="J446" s="337"/>
      <c r="K446" s="357">
        <v>0</v>
      </c>
      <c r="L446" s="357">
        <v>0</v>
      </c>
    </row>
    <row r="447" spans="1:12" ht="25.5">
      <c r="A447" s="153">
        <v>310</v>
      </c>
      <c r="B447" s="152">
        <v>300</v>
      </c>
      <c r="C447" s="152">
        <v>0</v>
      </c>
      <c r="D447" s="152">
        <v>0</v>
      </c>
      <c r="E447" s="152">
        <v>0</v>
      </c>
      <c r="F447" s="152">
        <v>0</v>
      </c>
      <c r="G447" s="344" t="s">
        <v>2744</v>
      </c>
      <c r="H447" s="344" t="s">
        <v>1061</v>
      </c>
      <c r="I447" s="337" t="s">
        <v>1062</v>
      </c>
      <c r="J447" s="337"/>
      <c r="K447" s="350">
        <v>1592762.72</v>
      </c>
      <c r="L447" s="350">
        <v>1524372.99</v>
      </c>
    </row>
    <row r="448" spans="1:12">
      <c r="A448" s="153">
        <v>310</v>
      </c>
      <c r="B448" s="152">
        <v>400</v>
      </c>
      <c r="C448" s="152">
        <v>0</v>
      </c>
      <c r="D448" s="152">
        <v>0</v>
      </c>
      <c r="E448" s="152">
        <v>0</v>
      </c>
      <c r="F448" s="152">
        <v>0</v>
      </c>
      <c r="G448" s="344" t="s">
        <v>2745</v>
      </c>
      <c r="H448" s="344" t="s">
        <v>1063</v>
      </c>
      <c r="I448" s="337" t="s">
        <v>1064</v>
      </c>
      <c r="J448" s="337"/>
      <c r="K448" s="350">
        <v>0</v>
      </c>
      <c r="L448" s="350">
        <v>0</v>
      </c>
    </row>
    <row r="449" spans="1:12">
      <c r="A449" s="153">
        <v>310</v>
      </c>
      <c r="B449" s="152">
        <v>500</v>
      </c>
      <c r="C449" s="152">
        <v>0</v>
      </c>
      <c r="D449" s="152">
        <v>0</v>
      </c>
      <c r="E449" s="152">
        <v>0</v>
      </c>
      <c r="F449" s="152">
        <v>0</v>
      </c>
      <c r="G449" s="344" t="s">
        <v>2746</v>
      </c>
      <c r="H449" s="344" t="s">
        <v>1065</v>
      </c>
      <c r="I449" s="337" t="s">
        <v>1066</v>
      </c>
      <c r="J449" s="337"/>
      <c r="K449" s="350">
        <v>2680.02</v>
      </c>
      <c r="L449" s="350">
        <v>1159.01</v>
      </c>
    </row>
    <row r="450" spans="1:12">
      <c r="A450" s="153">
        <v>310</v>
      </c>
      <c r="B450" s="337">
        <v>600</v>
      </c>
      <c r="C450" s="337">
        <v>0</v>
      </c>
      <c r="D450" s="337">
        <v>0</v>
      </c>
      <c r="E450" s="337">
        <v>0</v>
      </c>
      <c r="F450" s="337">
        <v>0</v>
      </c>
      <c r="G450" s="345" t="s">
        <v>2747</v>
      </c>
      <c r="H450" s="345" t="s">
        <v>1067</v>
      </c>
      <c r="I450" s="337" t="s">
        <v>1068</v>
      </c>
      <c r="J450" s="336"/>
      <c r="K450" s="351">
        <v>0</v>
      </c>
      <c r="L450" s="351">
        <v>0</v>
      </c>
    </row>
    <row r="451" spans="1:12">
      <c r="A451" s="153">
        <v>310</v>
      </c>
      <c r="B451" s="337">
        <v>600</v>
      </c>
      <c r="C451" s="152">
        <v>100</v>
      </c>
      <c r="D451" s="152">
        <v>0</v>
      </c>
      <c r="E451" s="152">
        <v>0</v>
      </c>
      <c r="F451" s="152">
        <v>0</v>
      </c>
      <c r="G451" s="344" t="s">
        <v>2748</v>
      </c>
      <c r="H451" s="344" t="s">
        <v>1069</v>
      </c>
      <c r="I451" s="337"/>
      <c r="J451" s="337"/>
      <c r="K451" s="357">
        <v>42643.79</v>
      </c>
      <c r="L451" s="357">
        <v>37554.06</v>
      </c>
    </row>
    <row r="452" spans="1:12">
      <c r="A452" s="153">
        <v>310</v>
      </c>
      <c r="B452" s="337">
        <v>600</v>
      </c>
      <c r="C452" s="152">
        <v>200</v>
      </c>
      <c r="D452" s="152">
        <v>0</v>
      </c>
      <c r="E452" s="152">
        <v>0</v>
      </c>
      <c r="F452" s="152">
        <v>0</v>
      </c>
      <c r="G452" s="344" t="s">
        <v>2749</v>
      </c>
      <c r="H452" s="344" t="s">
        <v>1070</v>
      </c>
      <c r="I452" s="337"/>
      <c r="J452" s="337"/>
      <c r="K452" s="357">
        <v>31497.299999999996</v>
      </c>
      <c r="L452" s="357">
        <v>61326.44</v>
      </c>
    </row>
    <row r="453" spans="1:12">
      <c r="A453" s="153">
        <v>310</v>
      </c>
      <c r="B453" s="337">
        <v>600</v>
      </c>
      <c r="C453" s="152">
        <v>300</v>
      </c>
      <c r="D453" s="152">
        <v>0</v>
      </c>
      <c r="E453" s="152">
        <v>0</v>
      </c>
      <c r="F453" s="152">
        <v>0</v>
      </c>
      <c r="G453" s="344" t="s">
        <v>2750</v>
      </c>
      <c r="H453" s="344" t="s">
        <v>1067</v>
      </c>
      <c r="I453" s="337"/>
      <c r="J453" s="337"/>
      <c r="K453" s="357">
        <v>19532.12</v>
      </c>
      <c r="L453" s="357">
        <v>29264.69</v>
      </c>
    </row>
    <row r="454" spans="1:12" ht="25.5">
      <c r="A454" s="153">
        <v>310</v>
      </c>
      <c r="B454" s="337">
        <v>700</v>
      </c>
      <c r="C454" s="337">
        <v>0</v>
      </c>
      <c r="D454" s="337">
        <v>0</v>
      </c>
      <c r="E454" s="152">
        <v>0</v>
      </c>
      <c r="F454" s="152">
        <v>0</v>
      </c>
      <c r="G454" s="344" t="s">
        <v>2751</v>
      </c>
      <c r="H454" s="344" t="s">
        <v>1071</v>
      </c>
      <c r="I454" s="346" t="s">
        <v>1072</v>
      </c>
      <c r="J454" s="346" t="s">
        <v>1522</v>
      </c>
      <c r="K454" s="350">
        <v>0</v>
      </c>
      <c r="L454" s="350">
        <v>0</v>
      </c>
    </row>
    <row r="455" spans="1:12">
      <c r="A455" s="150">
        <v>315</v>
      </c>
      <c r="B455" s="57">
        <v>0</v>
      </c>
      <c r="C455" s="57">
        <v>0</v>
      </c>
      <c r="D455" s="57">
        <v>0</v>
      </c>
      <c r="E455" s="57">
        <v>0</v>
      </c>
      <c r="F455" s="57">
        <v>0</v>
      </c>
      <c r="G455" s="355">
        <v>315</v>
      </c>
      <c r="H455" s="355" t="s">
        <v>61</v>
      </c>
      <c r="I455" s="57" t="s">
        <v>1073</v>
      </c>
      <c r="J455" s="57"/>
      <c r="K455" s="362">
        <v>0</v>
      </c>
      <c r="L455" s="362">
        <v>0</v>
      </c>
    </row>
    <row r="456" spans="1:12">
      <c r="A456" s="153">
        <v>315</v>
      </c>
      <c r="B456" s="337">
        <v>100</v>
      </c>
      <c r="C456" s="337">
        <v>0</v>
      </c>
      <c r="D456" s="337">
        <v>0</v>
      </c>
      <c r="E456" s="337">
        <v>0</v>
      </c>
      <c r="F456" s="337">
        <v>0</v>
      </c>
      <c r="G456" s="345" t="s">
        <v>2752</v>
      </c>
      <c r="H456" s="345" t="s">
        <v>1074</v>
      </c>
      <c r="I456" s="337" t="s">
        <v>1075</v>
      </c>
      <c r="J456" s="336"/>
      <c r="K456" s="351">
        <v>0</v>
      </c>
      <c r="L456" s="351">
        <v>0</v>
      </c>
    </row>
    <row r="457" spans="1:12">
      <c r="A457" s="153">
        <v>315</v>
      </c>
      <c r="B457" s="337">
        <v>100</v>
      </c>
      <c r="C457" s="152">
        <v>100</v>
      </c>
      <c r="D457" s="152">
        <v>0</v>
      </c>
      <c r="E457" s="152">
        <v>0</v>
      </c>
      <c r="F457" s="152">
        <v>0</v>
      </c>
      <c r="G457" s="344" t="s">
        <v>2753</v>
      </c>
      <c r="H457" s="344" t="s">
        <v>1076</v>
      </c>
      <c r="I457" s="337"/>
      <c r="J457" s="337"/>
      <c r="K457" s="357">
        <v>25228.16</v>
      </c>
      <c r="L457" s="357">
        <v>25228.16</v>
      </c>
    </row>
    <row r="458" spans="1:12">
      <c r="A458" s="153">
        <v>315</v>
      </c>
      <c r="B458" s="337">
        <v>100</v>
      </c>
      <c r="C458" s="152">
        <v>200</v>
      </c>
      <c r="D458" s="152">
        <v>0</v>
      </c>
      <c r="E458" s="152">
        <v>0</v>
      </c>
      <c r="F458" s="152">
        <v>0</v>
      </c>
      <c r="G458" s="344" t="s">
        <v>2754</v>
      </c>
      <c r="H458" s="344" t="s">
        <v>1077</v>
      </c>
      <c r="I458" s="337"/>
      <c r="J458" s="337"/>
      <c r="K458" s="357">
        <v>6279.25</v>
      </c>
      <c r="L458" s="357">
        <v>5582.73</v>
      </c>
    </row>
    <row r="459" spans="1:12">
      <c r="A459" s="153">
        <v>315</v>
      </c>
      <c r="B459" s="337">
        <v>200</v>
      </c>
      <c r="C459" s="337">
        <v>0</v>
      </c>
      <c r="D459" s="337">
        <v>0</v>
      </c>
      <c r="E459" s="337">
        <v>0</v>
      </c>
      <c r="F459" s="337">
        <v>0</v>
      </c>
      <c r="G459" s="345" t="s">
        <v>2755</v>
      </c>
      <c r="H459" s="345" t="s">
        <v>1078</v>
      </c>
      <c r="I459" s="337" t="s">
        <v>1079</v>
      </c>
      <c r="J459" s="336"/>
      <c r="K459" s="351">
        <v>0</v>
      </c>
      <c r="L459" s="351">
        <v>0</v>
      </c>
    </row>
    <row r="460" spans="1:12">
      <c r="A460" s="153">
        <v>315</v>
      </c>
      <c r="B460" s="337">
        <v>200</v>
      </c>
      <c r="C460" s="152">
        <v>100</v>
      </c>
      <c r="D460" s="152">
        <v>0</v>
      </c>
      <c r="E460" s="152">
        <v>0</v>
      </c>
      <c r="F460" s="152">
        <v>0</v>
      </c>
      <c r="G460" s="344" t="s">
        <v>2756</v>
      </c>
      <c r="H460" s="344" t="s">
        <v>1080</v>
      </c>
      <c r="I460" s="337" t="s">
        <v>1081</v>
      </c>
      <c r="J460" s="337"/>
      <c r="K460" s="350">
        <v>468002.52</v>
      </c>
      <c r="L460" s="350">
        <v>293572.21999999997</v>
      </c>
    </row>
    <row r="461" spans="1:12">
      <c r="A461" s="153">
        <v>315</v>
      </c>
      <c r="B461" s="337">
        <v>200</v>
      </c>
      <c r="C461" s="337">
        <v>200</v>
      </c>
      <c r="D461" s="337">
        <v>0</v>
      </c>
      <c r="E461" s="337">
        <v>0</v>
      </c>
      <c r="F461" s="337">
        <v>0</v>
      </c>
      <c r="G461" s="345" t="s">
        <v>2757</v>
      </c>
      <c r="H461" s="345" t="s">
        <v>1082</v>
      </c>
      <c r="I461" s="337" t="s">
        <v>1083</v>
      </c>
      <c r="J461" s="336"/>
      <c r="K461" s="351">
        <v>0</v>
      </c>
      <c r="L461" s="351">
        <v>0</v>
      </c>
    </row>
    <row r="462" spans="1:12">
      <c r="A462" s="153">
        <v>315</v>
      </c>
      <c r="B462" s="337">
        <v>200</v>
      </c>
      <c r="C462" s="337">
        <v>200</v>
      </c>
      <c r="D462" s="152">
        <v>100</v>
      </c>
      <c r="E462" s="152">
        <v>0</v>
      </c>
      <c r="F462" s="152">
        <v>0</v>
      </c>
      <c r="G462" s="344" t="s">
        <v>2758</v>
      </c>
      <c r="H462" s="344" t="s">
        <v>1084</v>
      </c>
      <c r="I462" s="337"/>
      <c r="J462" s="337"/>
      <c r="K462" s="357">
        <v>207559.65</v>
      </c>
      <c r="L462" s="357">
        <v>174322.43</v>
      </c>
    </row>
    <row r="463" spans="1:12">
      <c r="A463" s="153">
        <v>315</v>
      </c>
      <c r="B463" s="337">
        <v>200</v>
      </c>
      <c r="C463" s="337">
        <v>200</v>
      </c>
      <c r="D463" s="152">
        <v>200</v>
      </c>
      <c r="E463" s="152">
        <v>0</v>
      </c>
      <c r="F463" s="152">
        <v>0</v>
      </c>
      <c r="G463" s="344" t="s">
        <v>2759</v>
      </c>
      <c r="H463" s="344" t="s">
        <v>1085</v>
      </c>
      <c r="I463" s="337"/>
      <c r="J463" s="337"/>
      <c r="K463" s="357">
        <v>13750.25</v>
      </c>
      <c r="L463" s="357">
        <v>11260.32</v>
      </c>
    </row>
    <row r="464" spans="1:12">
      <c r="A464" s="153">
        <v>315</v>
      </c>
      <c r="B464" s="337">
        <v>200</v>
      </c>
      <c r="C464" s="337">
        <v>200</v>
      </c>
      <c r="D464" s="152">
        <v>300</v>
      </c>
      <c r="E464" s="152">
        <v>0</v>
      </c>
      <c r="F464" s="152">
        <v>0</v>
      </c>
      <c r="G464" s="344" t="s">
        <v>2760</v>
      </c>
      <c r="H464" s="344" t="s">
        <v>1086</v>
      </c>
      <c r="I464" s="337"/>
      <c r="J464" s="337"/>
      <c r="K464" s="357">
        <v>10743.99</v>
      </c>
      <c r="L464" s="357">
        <v>10744.01</v>
      </c>
    </row>
    <row r="465" spans="1:12">
      <c r="A465" s="153">
        <v>315</v>
      </c>
      <c r="B465" s="337">
        <v>200</v>
      </c>
      <c r="C465" s="337">
        <v>200</v>
      </c>
      <c r="D465" s="152">
        <v>900</v>
      </c>
      <c r="E465" s="152">
        <v>0</v>
      </c>
      <c r="F465" s="152">
        <v>0</v>
      </c>
      <c r="G465" s="344" t="s">
        <v>2761</v>
      </c>
      <c r="H465" s="344" t="s">
        <v>1087</v>
      </c>
      <c r="I465" s="337"/>
      <c r="J465" s="337"/>
      <c r="K465" s="357">
        <v>0</v>
      </c>
      <c r="L465" s="357">
        <v>34245.4</v>
      </c>
    </row>
    <row r="466" spans="1:12">
      <c r="A466" s="153">
        <v>315</v>
      </c>
      <c r="B466" s="337">
        <v>300</v>
      </c>
      <c r="C466" s="337">
        <v>0</v>
      </c>
      <c r="D466" s="337">
        <v>0</v>
      </c>
      <c r="E466" s="337">
        <v>0</v>
      </c>
      <c r="F466" s="337">
        <v>0</v>
      </c>
      <c r="G466" s="345" t="s">
        <v>2762</v>
      </c>
      <c r="H466" s="345" t="s">
        <v>1088</v>
      </c>
      <c r="I466" s="337" t="s">
        <v>1089</v>
      </c>
      <c r="J466" s="336"/>
      <c r="K466" s="351">
        <v>0</v>
      </c>
      <c r="L466" s="351">
        <v>0</v>
      </c>
    </row>
    <row r="467" spans="1:12">
      <c r="A467" s="153">
        <v>315</v>
      </c>
      <c r="B467" s="337">
        <v>300</v>
      </c>
      <c r="C467" s="337">
        <v>100</v>
      </c>
      <c r="D467" s="337">
        <v>0</v>
      </c>
      <c r="E467" s="337">
        <v>0</v>
      </c>
      <c r="F467" s="337">
        <v>0</v>
      </c>
      <c r="G467" s="345" t="s">
        <v>2763</v>
      </c>
      <c r="H467" s="345" t="s">
        <v>1090</v>
      </c>
      <c r="I467" s="337" t="s">
        <v>1091</v>
      </c>
      <c r="J467" s="336"/>
      <c r="K467" s="351">
        <v>0</v>
      </c>
      <c r="L467" s="351">
        <v>0</v>
      </c>
    </row>
    <row r="468" spans="1:12">
      <c r="A468" s="153">
        <v>315</v>
      </c>
      <c r="B468" s="337">
        <v>300</v>
      </c>
      <c r="C468" s="337">
        <v>100</v>
      </c>
      <c r="D468" s="152">
        <v>100</v>
      </c>
      <c r="E468" s="152">
        <v>0</v>
      </c>
      <c r="F468" s="152">
        <v>0</v>
      </c>
      <c r="G468" s="344" t="s">
        <v>2764</v>
      </c>
      <c r="H468" s="344" t="s">
        <v>1092</v>
      </c>
      <c r="I468" s="337"/>
      <c r="J468" s="337"/>
      <c r="K468" s="357">
        <v>0</v>
      </c>
      <c r="L468" s="357">
        <v>0</v>
      </c>
    </row>
    <row r="469" spans="1:12">
      <c r="A469" s="153">
        <v>315</v>
      </c>
      <c r="B469" s="337">
        <v>300</v>
      </c>
      <c r="C469" s="337">
        <v>100</v>
      </c>
      <c r="D469" s="152">
        <v>200</v>
      </c>
      <c r="E469" s="152">
        <v>0</v>
      </c>
      <c r="F469" s="152">
        <v>0</v>
      </c>
      <c r="G469" s="344" t="s">
        <v>2765</v>
      </c>
      <c r="H469" s="344" t="s">
        <v>1093</v>
      </c>
      <c r="I469" s="337"/>
      <c r="J469" s="337"/>
      <c r="K469" s="357">
        <v>36461.42</v>
      </c>
      <c r="L469" s="357">
        <v>14302.56</v>
      </c>
    </row>
    <row r="470" spans="1:12">
      <c r="A470" s="153">
        <v>315</v>
      </c>
      <c r="B470" s="337">
        <v>300</v>
      </c>
      <c r="C470" s="337">
        <v>200</v>
      </c>
      <c r="D470" s="337">
        <v>0</v>
      </c>
      <c r="E470" s="337">
        <v>0</v>
      </c>
      <c r="F470" s="337">
        <v>0</v>
      </c>
      <c r="G470" s="345" t="s">
        <v>2766</v>
      </c>
      <c r="H470" s="345" t="s">
        <v>1094</v>
      </c>
      <c r="I470" s="337" t="s">
        <v>1095</v>
      </c>
      <c r="J470" s="336"/>
      <c r="K470" s="351">
        <v>0</v>
      </c>
      <c r="L470" s="351">
        <v>0</v>
      </c>
    </row>
    <row r="471" spans="1:12">
      <c r="A471" s="153">
        <v>315</v>
      </c>
      <c r="B471" s="337">
        <v>300</v>
      </c>
      <c r="C471" s="337">
        <v>200</v>
      </c>
      <c r="D471" s="152">
        <v>100</v>
      </c>
      <c r="E471" s="152">
        <v>0</v>
      </c>
      <c r="F471" s="152">
        <v>0</v>
      </c>
      <c r="G471" s="344" t="s">
        <v>2767</v>
      </c>
      <c r="H471" s="344" t="s">
        <v>1092</v>
      </c>
      <c r="I471" s="337"/>
      <c r="J471" s="337"/>
      <c r="K471" s="357">
        <v>0</v>
      </c>
      <c r="L471" s="357">
        <v>0</v>
      </c>
    </row>
    <row r="472" spans="1:12">
      <c r="A472" s="153">
        <v>315</v>
      </c>
      <c r="B472" s="337">
        <v>300</v>
      </c>
      <c r="C472" s="337">
        <v>200</v>
      </c>
      <c r="D472" s="152">
        <v>200</v>
      </c>
      <c r="E472" s="152">
        <v>0</v>
      </c>
      <c r="F472" s="152">
        <v>0</v>
      </c>
      <c r="G472" s="344" t="s">
        <v>2768</v>
      </c>
      <c r="H472" s="344" t="s">
        <v>1093</v>
      </c>
      <c r="I472" s="337"/>
      <c r="J472" s="337"/>
      <c r="K472" s="357">
        <v>0</v>
      </c>
      <c r="L472" s="357">
        <v>0</v>
      </c>
    </row>
    <row r="473" spans="1:12">
      <c r="A473" s="153">
        <v>315</v>
      </c>
      <c r="B473" s="337">
        <v>350</v>
      </c>
      <c r="C473" s="337">
        <v>0</v>
      </c>
      <c r="D473" s="337">
        <v>0</v>
      </c>
      <c r="E473" s="152">
        <v>0</v>
      </c>
      <c r="F473" s="152">
        <v>0</v>
      </c>
      <c r="G473" s="344" t="s">
        <v>2769</v>
      </c>
      <c r="H473" s="344" t="s">
        <v>1096</v>
      </c>
      <c r="I473" s="346" t="s">
        <v>1097</v>
      </c>
      <c r="J473" s="346"/>
      <c r="K473" s="350">
        <v>125912.22</v>
      </c>
      <c r="L473" s="350">
        <v>0</v>
      </c>
    </row>
    <row r="474" spans="1:12" ht="25.5">
      <c r="A474" s="153">
        <v>315</v>
      </c>
      <c r="B474" s="337">
        <v>400</v>
      </c>
      <c r="C474" s="337">
        <v>0</v>
      </c>
      <c r="D474" s="337">
        <v>0</v>
      </c>
      <c r="E474" s="152">
        <v>0</v>
      </c>
      <c r="F474" s="152">
        <v>0</v>
      </c>
      <c r="G474" s="344" t="s">
        <v>2770</v>
      </c>
      <c r="H474" s="344" t="s">
        <v>1098</v>
      </c>
      <c r="I474" s="346" t="s">
        <v>1099</v>
      </c>
      <c r="J474" s="346" t="s">
        <v>1522</v>
      </c>
      <c r="K474" s="350">
        <v>0</v>
      </c>
      <c r="L474" s="350">
        <v>0</v>
      </c>
    </row>
    <row r="475" spans="1:12">
      <c r="A475" s="150">
        <v>320</v>
      </c>
      <c r="B475" s="57">
        <v>0</v>
      </c>
      <c r="C475" s="57">
        <v>0</v>
      </c>
      <c r="D475" s="57">
        <v>0</v>
      </c>
      <c r="E475" s="57">
        <v>0</v>
      </c>
      <c r="F475" s="57">
        <v>0</v>
      </c>
      <c r="G475" s="355">
        <v>320</v>
      </c>
      <c r="H475" s="355" t="s">
        <v>1100</v>
      </c>
      <c r="I475" s="57" t="s">
        <v>1101</v>
      </c>
      <c r="J475" s="57"/>
      <c r="K475" s="362">
        <v>0</v>
      </c>
      <c r="L475" s="362">
        <v>0</v>
      </c>
    </row>
    <row r="476" spans="1:12">
      <c r="A476" s="153">
        <v>320</v>
      </c>
      <c r="B476" s="337">
        <v>100</v>
      </c>
      <c r="C476" s="337">
        <v>0</v>
      </c>
      <c r="D476" s="337">
        <v>0</v>
      </c>
      <c r="E476" s="337">
        <v>0</v>
      </c>
      <c r="F476" s="337">
        <v>0</v>
      </c>
      <c r="G476" s="345" t="s">
        <v>2771</v>
      </c>
      <c r="H476" s="345" t="s">
        <v>1102</v>
      </c>
      <c r="I476" s="337" t="s">
        <v>1103</v>
      </c>
      <c r="J476" s="336"/>
      <c r="K476" s="351">
        <v>0</v>
      </c>
      <c r="L476" s="351">
        <v>0</v>
      </c>
    </row>
    <row r="477" spans="1:12">
      <c r="A477" s="153">
        <v>320</v>
      </c>
      <c r="B477" s="337">
        <v>100</v>
      </c>
      <c r="C477" s="337">
        <v>100</v>
      </c>
      <c r="D477" s="337">
        <v>0</v>
      </c>
      <c r="E477" s="337">
        <v>0</v>
      </c>
      <c r="F477" s="337">
        <v>0</v>
      </c>
      <c r="G477" s="345" t="s">
        <v>2772</v>
      </c>
      <c r="H477" s="345" t="s">
        <v>1104</v>
      </c>
      <c r="I477" s="337" t="s">
        <v>1105</v>
      </c>
      <c r="J477" s="336"/>
      <c r="K477" s="351">
        <v>0</v>
      </c>
      <c r="L477" s="351">
        <v>0</v>
      </c>
    </row>
    <row r="478" spans="1:12">
      <c r="A478" s="153">
        <v>320</v>
      </c>
      <c r="B478" s="337">
        <v>100</v>
      </c>
      <c r="C478" s="337">
        <v>100</v>
      </c>
      <c r="D478" s="337">
        <v>100</v>
      </c>
      <c r="E478" s="337">
        <v>0</v>
      </c>
      <c r="F478" s="337">
        <v>0</v>
      </c>
      <c r="G478" s="345" t="s">
        <v>2773</v>
      </c>
      <c r="H478" s="345" t="s">
        <v>1106</v>
      </c>
      <c r="I478" s="337" t="s">
        <v>1107</v>
      </c>
      <c r="J478" s="336"/>
      <c r="K478" s="351">
        <v>0</v>
      </c>
      <c r="L478" s="351">
        <v>0</v>
      </c>
    </row>
    <row r="479" spans="1:12">
      <c r="A479" s="153">
        <v>320</v>
      </c>
      <c r="B479" s="337">
        <v>100</v>
      </c>
      <c r="C479" s="337">
        <v>100</v>
      </c>
      <c r="D479" s="337">
        <v>100</v>
      </c>
      <c r="E479" s="152">
        <v>10</v>
      </c>
      <c r="F479" s="152">
        <v>0</v>
      </c>
      <c r="G479" s="363" t="s">
        <v>2774</v>
      </c>
      <c r="H479" s="344" t="s">
        <v>1108</v>
      </c>
      <c r="I479" s="337"/>
      <c r="J479" s="337"/>
      <c r="K479" s="350">
        <v>7132821.8700000001</v>
      </c>
      <c r="L479" s="350">
        <v>7239591.6900000004</v>
      </c>
    </row>
    <row r="480" spans="1:12">
      <c r="A480" s="153">
        <v>320</v>
      </c>
      <c r="B480" s="337">
        <v>100</v>
      </c>
      <c r="C480" s="337">
        <v>100</v>
      </c>
      <c r="D480" s="337">
        <v>100</v>
      </c>
      <c r="E480" s="152">
        <v>20</v>
      </c>
      <c r="F480" s="152">
        <v>0</v>
      </c>
      <c r="G480" s="363" t="s">
        <v>2775</v>
      </c>
      <c r="H480" s="344" t="s">
        <v>1109</v>
      </c>
      <c r="I480" s="337"/>
      <c r="J480" s="337"/>
      <c r="K480" s="350">
        <v>2302798.4300000002</v>
      </c>
      <c r="L480" s="350">
        <v>2342368.73</v>
      </c>
    </row>
    <row r="481" spans="1:12">
      <c r="A481" s="153">
        <v>320</v>
      </c>
      <c r="B481" s="337">
        <v>100</v>
      </c>
      <c r="C481" s="337">
        <v>100</v>
      </c>
      <c r="D481" s="337">
        <v>100</v>
      </c>
      <c r="E481" s="337">
        <v>30</v>
      </c>
      <c r="F481" s="337">
        <v>0</v>
      </c>
      <c r="G481" s="364" t="s">
        <v>2776</v>
      </c>
      <c r="H481" s="345" t="s">
        <v>1110</v>
      </c>
      <c r="I481" s="337"/>
      <c r="J481" s="336"/>
      <c r="K481" s="351">
        <v>0</v>
      </c>
      <c r="L481" s="351">
        <v>0</v>
      </c>
    </row>
    <row r="482" spans="1:12">
      <c r="A482" s="153">
        <v>320</v>
      </c>
      <c r="B482" s="337">
        <v>100</v>
      </c>
      <c r="C482" s="337">
        <v>100</v>
      </c>
      <c r="D482" s="337">
        <v>100</v>
      </c>
      <c r="E482" s="337">
        <v>30</v>
      </c>
      <c r="F482" s="152">
        <v>5</v>
      </c>
      <c r="G482" s="363" t="s">
        <v>2777</v>
      </c>
      <c r="H482" s="344" t="s">
        <v>1111</v>
      </c>
      <c r="I482" s="337"/>
      <c r="J482" s="337"/>
      <c r="K482" s="350">
        <v>394594.27</v>
      </c>
      <c r="L482" s="350">
        <v>490016.51</v>
      </c>
    </row>
    <row r="483" spans="1:12">
      <c r="A483" s="153">
        <v>320</v>
      </c>
      <c r="B483" s="337">
        <v>100</v>
      </c>
      <c r="C483" s="337">
        <v>100</v>
      </c>
      <c r="D483" s="337">
        <v>100</v>
      </c>
      <c r="E483" s="337">
        <v>40</v>
      </c>
      <c r="F483" s="337">
        <v>0</v>
      </c>
      <c r="G483" s="364" t="s">
        <v>2778</v>
      </c>
      <c r="H483" s="345" t="s">
        <v>1113</v>
      </c>
      <c r="I483" s="337"/>
      <c r="J483" s="336"/>
      <c r="K483" s="351">
        <v>0</v>
      </c>
      <c r="L483" s="351">
        <v>0</v>
      </c>
    </row>
    <row r="484" spans="1:12" ht="25.5">
      <c r="A484" s="153">
        <v>320</v>
      </c>
      <c r="B484" s="337">
        <v>100</v>
      </c>
      <c r="C484" s="337">
        <v>100</v>
      </c>
      <c r="D484" s="337">
        <v>100</v>
      </c>
      <c r="E484" s="337">
        <v>40</v>
      </c>
      <c r="F484" s="152">
        <v>5</v>
      </c>
      <c r="G484" s="363" t="s">
        <v>2779</v>
      </c>
      <c r="H484" s="344" t="s">
        <v>1114</v>
      </c>
      <c r="I484" s="337"/>
      <c r="J484" s="337"/>
      <c r="K484" s="350">
        <v>505336.64</v>
      </c>
      <c r="L484" s="350">
        <v>507076.82</v>
      </c>
    </row>
    <row r="485" spans="1:12">
      <c r="A485" s="153">
        <v>320</v>
      </c>
      <c r="B485" s="337">
        <v>100</v>
      </c>
      <c r="C485" s="337">
        <v>100</v>
      </c>
      <c r="D485" s="337">
        <v>100</v>
      </c>
      <c r="E485" s="337">
        <v>50</v>
      </c>
      <c r="F485" s="337">
        <v>0</v>
      </c>
      <c r="G485" s="364" t="s">
        <v>2780</v>
      </c>
      <c r="H485" s="345" t="s">
        <v>1116</v>
      </c>
      <c r="I485" s="337"/>
      <c r="J485" s="336"/>
      <c r="K485" s="351">
        <v>0</v>
      </c>
      <c r="L485" s="351">
        <v>0</v>
      </c>
    </row>
    <row r="486" spans="1:12">
      <c r="A486" s="153">
        <v>320</v>
      </c>
      <c r="B486" s="337">
        <v>100</v>
      </c>
      <c r="C486" s="337">
        <v>100</v>
      </c>
      <c r="D486" s="337">
        <v>100</v>
      </c>
      <c r="E486" s="337">
        <v>50</v>
      </c>
      <c r="F486" s="152">
        <v>5</v>
      </c>
      <c r="G486" s="363" t="s">
        <v>2781</v>
      </c>
      <c r="H486" s="344" t="s">
        <v>1117</v>
      </c>
      <c r="I486" s="337"/>
      <c r="J486" s="337"/>
      <c r="K486" s="350">
        <v>0</v>
      </c>
      <c r="L486" s="350">
        <v>0</v>
      </c>
    </row>
    <row r="487" spans="1:12">
      <c r="A487" s="153">
        <v>320</v>
      </c>
      <c r="B487" s="337">
        <v>100</v>
      </c>
      <c r="C487" s="337">
        <v>100</v>
      </c>
      <c r="D487" s="337">
        <v>100</v>
      </c>
      <c r="E487" s="337">
        <v>50</v>
      </c>
      <c r="F487" s="152">
        <v>10</v>
      </c>
      <c r="G487" s="363" t="s">
        <v>2782</v>
      </c>
      <c r="H487" s="344" t="s">
        <v>1118</v>
      </c>
      <c r="I487" s="337"/>
      <c r="J487" s="337"/>
      <c r="K487" s="350">
        <v>0</v>
      </c>
      <c r="L487" s="350">
        <v>0</v>
      </c>
    </row>
    <row r="488" spans="1:12">
      <c r="A488" s="153">
        <v>320</v>
      </c>
      <c r="B488" s="337">
        <v>100</v>
      </c>
      <c r="C488" s="337">
        <v>100</v>
      </c>
      <c r="D488" s="337">
        <v>100</v>
      </c>
      <c r="E488" s="337">
        <v>50</v>
      </c>
      <c r="F488" s="152">
        <v>15</v>
      </c>
      <c r="G488" s="363" t="s">
        <v>2783</v>
      </c>
      <c r="H488" s="344" t="s">
        <v>1119</v>
      </c>
      <c r="I488" s="337"/>
      <c r="J488" s="337"/>
      <c r="K488" s="350">
        <v>4860.62</v>
      </c>
      <c r="L488" s="350">
        <v>33594.160000000003</v>
      </c>
    </row>
    <row r="489" spans="1:12">
      <c r="A489" s="153">
        <v>320</v>
      </c>
      <c r="B489" s="337">
        <v>100</v>
      </c>
      <c r="C489" s="337">
        <v>100</v>
      </c>
      <c r="D489" s="337">
        <v>100</v>
      </c>
      <c r="E489" s="337">
        <v>90</v>
      </c>
      <c r="F489" s="337">
        <v>0</v>
      </c>
      <c r="G489" s="364" t="s">
        <v>2784</v>
      </c>
      <c r="H489" s="345" t="s">
        <v>1121</v>
      </c>
      <c r="I489" s="337"/>
      <c r="J489" s="336"/>
      <c r="K489" s="351">
        <v>0</v>
      </c>
      <c r="L489" s="351">
        <v>0</v>
      </c>
    </row>
    <row r="490" spans="1:12">
      <c r="A490" s="153">
        <v>320</v>
      </c>
      <c r="B490" s="337">
        <v>100</v>
      </c>
      <c r="C490" s="337">
        <v>100</v>
      </c>
      <c r="D490" s="337">
        <v>100</v>
      </c>
      <c r="E490" s="337">
        <v>90</v>
      </c>
      <c r="F490" s="152">
        <v>5</v>
      </c>
      <c r="G490" s="363" t="s">
        <v>2785</v>
      </c>
      <c r="H490" s="344" t="s">
        <v>1122</v>
      </c>
      <c r="I490" s="337"/>
      <c r="J490" s="337"/>
      <c r="K490" s="350">
        <v>2967250.92</v>
      </c>
      <c r="L490" s="350">
        <v>2977795.1</v>
      </c>
    </row>
    <row r="491" spans="1:12">
      <c r="A491" s="153">
        <v>320</v>
      </c>
      <c r="B491" s="337">
        <v>100</v>
      </c>
      <c r="C491" s="337">
        <v>100</v>
      </c>
      <c r="D491" s="337">
        <v>200</v>
      </c>
      <c r="E491" s="337">
        <v>0</v>
      </c>
      <c r="F491" s="337">
        <v>0</v>
      </c>
      <c r="G491" s="345" t="s">
        <v>2786</v>
      </c>
      <c r="H491" s="345" t="s">
        <v>1124</v>
      </c>
      <c r="I491" s="337" t="s">
        <v>1125</v>
      </c>
      <c r="J491" s="336"/>
      <c r="K491" s="351">
        <v>0</v>
      </c>
      <c r="L491" s="351">
        <v>0</v>
      </c>
    </row>
    <row r="492" spans="1:12">
      <c r="A492" s="153">
        <v>320</v>
      </c>
      <c r="B492" s="337">
        <v>100</v>
      </c>
      <c r="C492" s="337">
        <v>100</v>
      </c>
      <c r="D492" s="337">
        <v>200</v>
      </c>
      <c r="E492" s="152">
        <v>10</v>
      </c>
      <c r="F492" s="152">
        <v>0</v>
      </c>
      <c r="G492" s="363" t="s">
        <v>2787</v>
      </c>
      <c r="H492" s="344" t="s">
        <v>1108</v>
      </c>
      <c r="I492" s="337"/>
      <c r="J492" s="337"/>
      <c r="K492" s="350">
        <v>816811.63</v>
      </c>
      <c r="L492" s="350">
        <v>679622.68</v>
      </c>
    </row>
    <row r="493" spans="1:12">
      <c r="A493" s="153">
        <v>320</v>
      </c>
      <c r="B493" s="337">
        <v>100</v>
      </c>
      <c r="C493" s="337">
        <v>100</v>
      </c>
      <c r="D493" s="337">
        <v>200</v>
      </c>
      <c r="E493" s="152">
        <v>20</v>
      </c>
      <c r="F493" s="152">
        <v>0</v>
      </c>
      <c r="G493" s="363" t="s">
        <v>2788</v>
      </c>
      <c r="H493" s="344" t="s">
        <v>1109</v>
      </c>
      <c r="I493" s="337"/>
      <c r="J493" s="337"/>
      <c r="K493" s="350">
        <v>163785.18</v>
      </c>
      <c r="L493" s="350">
        <v>142923.63</v>
      </c>
    </row>
    <row r="494" spans="1:12">
      <c r="A494" s="153">
        <v>320</v>
      </c>
      <c r="B494" s="337">
        <v>100</v>
      </c>
      <c r="C494" s="337">
        <v>100</v>
      </c>
      <c r="D494" s="337">
        <v>200</v>
      </c>
      <c r="E494" s="337">
        <v>30</v>
      </c>
      <c r="F494" s="337">
        <v>0</v>
      </c>
      <c r="G494" s="364" t="s">
        <v>2789</v>
      </c>
      <c r="H494" s="345" t="s">
        <v>1110</v>
      </c>
      <c r="I494" s="337"/>
      <c r="J494" s="336"/>
      <c r="K494" s="351">
        <v>0</v>
      </c>
      <c r="L494" s="351">
        <v>0</v>
      </c>
    </row>
    <row r="495" spans="1:12">
      <c r="A495" s="153">
        <v>320</v>
      </c>
      <c r="B495" s="337">
        <v>100</v>
      </c>
      <c r="C495" s="337">
        <v>100</v>
      </c>
      <c r="D495" s="337">
        <v>200</v>
      </c>
      <c r="E495" s="337">
        <v>30</v>
      </c>
      <c r="F495" s="152">
        <v>5</v>
      </c>
      <c r="G495" s="363" t="s">
        <v>2790</v>
      </c>
      <c r="H495" s="344" t="s">
        <v>1111</v>
      </c>
      <c r="I495" s="337"/>
      <c r="J495" s="337"/>
      <c r="K495" s="350">
        <v>41889.58</v>
      </c>
      <c r="L495" s="350">
        <v>51467.519999999997</v>
      </c>
    </row>
    <row r="496" spans="1:12">
      <c r="A496" s="153">
        <v>320</v>
      </c>
      <c r="B496" s="337">
        <v>100</v>
      </c>
      <c r="C496" s="337">
        <v>100</v>
      </c>
      <c r="D496" s="337">
        <v>200</v>
      </c>
      <c r="E496" s="337">
        <v>40</v>
      </c>
      <c r="F496" s="337">
        <v>0</v>
      </c>
      <c r="G496" s="364" t="s">
        <v>2791</v>
      </c>
      <c r="H496" s="345" t="s">
        <v>1113</v>
      </c>
      <c r="I496" s="337"/>
      <c r="J496" s="336"/>
      <c r="K496" s="351">
        <v>0</v>
      </c>
      <c r="L496" s="351">
        <v>0</v>
      </c>
    </row>
    <row r="497" spans="1:12" ht="25.5">
      <c r="A497" s="153">
        <v>320</v>
      </c>
      <c r="B497" s="337">
        <v>100</v>
      </c>
      <c r="C497" s="337">
        <v>100</v>
      </c>
      <c r="D497" s="337">
        <v>200</v>
      </c>
      <c r="E497" s="337">
        <v>40</v>
      </c>
      <c r="F497" s="152">
        <v>5</v>
      </c>
      <c r="G497" s="363" t="s">
        <v>2792</v>
      </c>
      <c r="H497" s="344" t="s">
        <v>1114</v>
      </c>
      <c r="I497" s="337"/>
      <c r="J497" s="337"/>
      <c r="K497" s="350">
        <v>73143.92</v>
      </c>
      <c r="L497" s="350">
        <v>57564.99</v>
      </c>
    </row>
    <row r="498" spans="1:12">
      <c r="A498" s="153">
        <v>320</v>
      </c>
      <c r="B498" s="337">
        <v>100</v>
      </c>
      <c r="C498" s="337">
        <v>100</v>
      </c>
      <c r="D498" s="337">
        <v>200</v>
      </c>
      <c r="E498" s="337">
        <v>50</v>
      </c>
      <c r="F498" s="337">
        <v>0</v>
      </c>
      <c r="G498" s="364" t="s">
        <v>2793</v>
      </c>
      <c r="H498" s="345" t="s">
        <v>1116</v>
      </c>
      <c r="I498" s="337"/>
      <c r="J498" s="336"/>
      <c r="K498" s="351">
        <v>0</v>
      </c>
      <c r="L498" s="351">
        <v>0</v>
      </c>
    </row>
    <row r="499" spans="1:12">
      <c r="A499" s="153">
        <v>320</v>
      </c>
      <c r="B499" s="337">
        <v>100</v>
      </c>
      <c r="C499" s="337">
        <v>100</v>
      </c>
      <c r="D499" s="337">
        <v>200</v>
      </c>
      <c r="E499" s="337">
        <v>50</v>
      </c>
      <c r="F499" s="152">
        <v>5</v>
      </c>
      <c r="G499" s="363" t="s">
        <v>2794</v>
      </c>
      <c r="H499" s="344" t="s">
        <v>1117</v>
      </c>
      <c r="I499" s="337"/>
      <c r="J499" s="337"/>
      <c r="K499" s="350">
        <v>0</v>
      </c>
      <c r="L499" s="350">
        <v>0</v>
      </c>
    </row>
    <row r="500" spans="1:12">
      <c r="A500" s="153">
        <v>320</v>
      </c>
      <c r="B500" s="337">
        <v>100</v>
      </c>
      <c r="C500" s="337">
        <v>100</v>
      </c>
      <c r="D500" s="337">
        <v>200</v>
      </c>
      <c r="E500" s="337">
        <v>50</v>
      </c>
      <c r="F500" s="152">
        <v>10</v>
      </c>
      <c r="G500" s="363" t="s">
        <v>2795</v>
      </c>
      <c r="H500" s="344" t="s">
        <v>1118</v>
      </c>
      <c r="I500" s="337"/>
      <c r="J500" s="337"/>
      <c r="K500" s="350">
        <v>0</v>
      </c>
      <c r="L500" s="350">
        <v>0</v>
      </c>
    </row>
    <row r="501" spans="1:12">
      <c r="A501" s="153">
        <v>320</v>
      </c>
      <c r="B501" s="337">
        <v>100</v>
      </c>
      <c r="C501" s="337">
        <v>100</v>
      </c>
      <c r="D501" s="337">
        <v>200</v>
      </c>
      <c r="E501" s="337">
        <v>50</v>
      </c>
      <c r="F501" s="152">
        <v>15</v>
      </c>
      <c r="G501" s="363" t="s">
        <v>2796</v>
      </c>
      <c r="H501" s="344" t="s">
        <v>1119</v>
      </c>
      <c r="I501" s="337"/>
      <c r="J501" s="337"/>
      <c r="K501" s="350">
        <v>0</v>
      </c>
      <c r="L501" s="350">
        <v>864.85</v>
      </c>
    </row>
    <row r="502" spans="1:12">
      <c r="A502" s="153">
        <v>320</v>
      </c>
      <c r="B502" s="337">
        <v>100</v>
      </c>
      <c r="C502" s="337">
        <v>100</v>
      </c>
      <c r="D502" s="337">
        <v>200</v>
      </c>
      <c r="E502" s="337">
        <v>90</v>
      </c>
      <c r="F502" s="337">
        <v>0</v>
      </c>
      <c r="G502" s="364" t="s">
        <v>2797</v>
      </c>
      <c r="H502" s="345" t="s">
        <v>1121</v>
      </c>
      <c r="I502" s="337"/>
      <c r="J502" s="336"/>
      <c r="K502" s="351">
        <v>0</v>
      </c>
      <c r="L502" s="351">
        <v>0</v>
      </c>
    </row>
    <row r="503" spans="1:12">
      <c r="A503" s="153">
        <v>320</v>
      </c>
      <c r="B503" s="337">
        <v>100</v>
      </c>
      <c r="C503" s="337">
        <v>100</v>
      </c>
      <c r="D503" s="337">
        <v>200</v>
      </c>
      <c r="E503" s="337">
        <v>90</v>
      </c>
      <c r="F503" s="152">
        <v>5</v>
      </c>
      <c r="G503" s="363" t="s">
        <v>2798</v>
      </c>
      <c r="H503" s="344" t="s">
        <v>1122</v>
      </c>
      <c r="I503" s="337"/>
      <c r="J503" s="337"/>
      <c r="K503" s="350">
        <v>337292.05</v>
      </c>
      <c r="L503" s="350">
        <v>283137.40000000002</v>
      </c>
    </row>
    <row r="504" spans="1:12">
      <c r="A504" s="153">
        <v>320</v>
      </c>
      <c r="B504" s="337">
        <v>100</v>
      </c>
      <c r="C504" s="337">
        <v>100</v>
      </c>
      <c r="D504" s="152">
        <v>300</v>
      </c>
      <c r="E504" s="152">
        <v>0</v>
      </c>
      <c r="F504" s="152">
        <v>0</v>
      </c>
      <c r="G504" s="344" t="s">
        <v>2799</v>
      </c>
      <c r="H504" s="344" t="s">
        <v>1126</v>
      </c>
      <c r="I504" s="337" t="s">
        <v>1127</v>
      </c>
      <c r="J504" s="337"/>
      <c r="K504" s="350">
        <v>0</v>
      </c>
      <c r="L504" s="350">
        <v>0</v>
      </c>
    </row>
    <row r="505" spans="1:12">
      <c r="A505" s="153">
        <v>320</v>
      </c>
      <c r="B505" s="337">
        <v>100</v>
      </c>
      <c r="C505" s="337">
        <v>200</v>
      </c>
      <c r="D505" s="337">
        <v>0</v>
      </c>
      <c r="E505" s="337">
        <v>0</v>
      </c>
      <c r="F505" s="337">
        <v>0</v>
      </c>
      <c r="G505" s="345" t="s">
        <v>2800</v>
      </c>
      <c r="H505" s="345" t="s">
        <v>1128</v>
      </c>
      <c r="I505" s="337" t="s">
        <v>1129</v>
      </c>
      <c r="J505" s="336"/>
      <c r="K505" s="351">
        <v>0</v>
      </c>
      <c r="L505" s="351">
        <v>0</v>
      </c>
    </row>
    <row r="506" spans="1:12" ht="25.5">
      <c r="A506" s="153">
        <v>320</v>
      </c>
      <c r="B506" s="337">
        <v>100</v>
      </c>
      <c r="C506" s="337">
        <v>200</v>
      </c>
      <c r="D506" s="337">
        <v>100</v>
      </c>
      <c r="E506" s="337">
        <v>0</v>
      </c>
      <c r="F506" s="337">
        <v>0</v>
      </c>
      <c r="G506" s="345" t="s">
        <v>2801</v>
      </c>
      <c r="H506" s="345" t="s">
        <v>1130</v>
      </c>
      <c r="I506" s="337" t="s">
        <v>1131</v>
      </c>
      <c r="J506" s="336"/>
      <c r="K506" s="351">
        <v>0</v>
      </c>
      <c r="L506" s="351">
        <v>0</v>
      </c>
    </row>
    <row r="507" spans="1:12">
      <c r="A507" s="153">
        <v>320</v>
      </c>
      <c r="B507" s="337">
        <v>100</v>
      </c>
      <c r="C507" s="337">
        <v>200</v>
      </c>
      <c r="D507" s="337">
        <v>100</v>
      </c>
      <c r="E507" s="152">
        <v>10</v>
      </c>
      <c r="F507" s="152">
        <v>0</v>
      </c>
      <c r="G507" s="363" t="s">
        <v>2802</v>
      </c>
      <c r="H507" s="344" t="s">
        <v>1108</v>
      </c>
      <c r="I507" s="337"/>
      <c r="J507" s="337"/>
      <c r="K507" s="350">
        <v>1095846.5</v>
      </c>
      <c r="L507" s="350">
        <v>992099.14</v>
      </c>
    </row>
    <row r="508" spans="1:12">
      <c r="A508" s="153">
        <v>320</v>
      </c>
      <c r="B508" s="337">
        <v>100</v>
      </c>
      <c r="C508" s="337">
        <v>200</v>
      </c>
      <c r="D508" s="337">
        <v>100</v>
      </c>
      <c r="E508" s="152">
        <v>20</v>
      </c>
      <c r="F508" s="152">
        <v>0</v>
      </c>
      <c r="G508" s="363" t="s">
        <v>2803</v>
      </c>
      <c r="H508" s="344" t="s">
        <v>1109</v>
      </c>
      <c r="I508" s="337"/>
      <c r="J508" s="337"/>
      <c r="K508" s="350">
        <v>184679.24</v>
      </c>
      <c r="L508" s="350">
        <v>174918.34</v>
      </c>
    </row>
    <row r="509" spans="1:12">
      <c r="A509" s="153">
        <v>320</v>
      </c>
      <c r="B509" s="337">
        <v>100</v>
      </c>
      <c r="C509" s="337">
        <v>200</v>
      </c>
      <c r="D509" s="337">
        <v>100</v>
      </c>
      <c r="E509" s="152">
        <v>30</v>
      </c>
      <c r="F509" s="152">
        <v>0</v>
      </c>
      <c r="G509" s="363" t="s">
        <v>2804</v>
      </c>
      <c r="H509" s="344" t="s">
        <v>1132</v>
      </c>
      <c r="I509" s="337"/>
      <c r="J509" s="337"/>
      <c r="K509" s="350">
        <v>58074.54</v>
      </c>
      <c r="L509" s="350">
        <v>66636.240000000005</v>
      </c>
    </row>
    <row r="510" spans="1:12">
      <c r="A510" s="153">
        <v>320</v>
      </c>
      <c r="B510" s="337">
        <v>100</v>
      </c>
      <c r="C510" s="337">
        <v>200</v>
      </c>
      <c r="D510" s="337">
        <v>100</v>
      </c>
      <c r="E510" s="152">
        <v>40</v>
      </c>
      <c r="F510" s="152">
        <v>0</v>
      </c>
      <c r="G510" s="363" t="s">
        <v>2805</v>
      </c>
      <c r="H510" s="344" t="s">
        <v>1133</v>
      </c>
      <c r="I510" s="337"/>
      <c r="J510" s="337"/>
      <c r="K510" s="350">
        <v>7511.74</v>
      </c>
      <c r="L510" s="350">
        <v>4915.74</v>
      </c>
    </row>
    <row r="511" spans="1:12">
      <c r="A511" s="153">
        <v>320</v>
      </c>
      <c r="B511" s="337">
        <v>100</v>
      </c>
      <c r="C511" s="337">
        <v>200</v>
      </c>
      <c r="D511" s="337">
        <v>100</v>
      </c>
      <c r="E511" s="337">
        <v>50</v>
      </c>
      <c r="F511" s="337">
        <v>0</v>
      </c>
      <c r="G511" s="364" t="s">
        <v>2806</v>
      </c>
      <c r="H511" s="345" t="s">
        <v>1134</v>
      </c>
      <c r="I511" s="337"/>
      <c r="J511" s="336"/>
      <c r="K511" s="351">
        <v>0</v>
      </c>
      <c r="L511" s="351">
        <v>0</v>
      </c>
    </row>
    <row r="512" spans="1:12">
      <c r="A512" s="153">
        <v>320</v>
      </c>
      <c r="B512" s="337">
        <v>100</v>
      </c>
      <c r="C512" s="337">
        <v>200</v>
      </c>
      <c r="D512" s="337">
        <v>100</v>
      </c>
      <c r="E512" s="337">
        <v>50</v>
      </c>
      <c r="F512" s="152">
        <v>5</v>
      </c>
      <c r="G512" s="363" t="s">
        <v>2807</v>
      </c>
      <c r="H512" s="344" t="s">
        <v>1117</v>
      </c>
      <c r="I512" s="337"/>
      <c r="J512" s="337"/>
      <c r="K512" s="350">
        <v>0</v>
      </c>
      <c r="L512" s="350">
        <v>0</v>
      </c>
    </row>
    <row r="513" spans="1:12">
      <c r="A513" s="153">
        <v>320</v>
      </c>
      <c r="B513" s="337">
        <v>100</v>
      </c>
      <c r="C513" s="337">
        <v>200</v>
      </c>
      <c r="D513" s="337">
        <v>100</v>
      </c>
      <c r="E513" s="337">
        <v>50</v>
      </c>
      <c r="F513" s="152">
        <v>10</v>
      </c>
      <c r="G513" s="363" t="s">
        <v>2808</v>
      </c>
      <c r="H513" s="344" t="s">
        <v>1118</v>
      </c>
      <c r="I513" s="337"/>
      <c r="J513" s="337"/>
      <c r="K513" s="350">
        <v>0</v>
      </c>
      <c r="L513" s="350">
        <v>0</v>
      </c>
    </row>
    <row r="514" spans="1:12">
      <c r="A514" s="153">
        <v>320</v>
      </c>
      <c r="B514" s="337">
        <v>100</v>
      </c>
      <c r="C514" s="337">
        <v>200</v>
      </c>
      <c r="D514" s="337">
        <v>100</v>
      </c>
      <c r="E514" s="337">
        <v>50</v>
      </c>
      <c r="F514" s="152">
        <v>15</v>
      </c>
      <c r="G514" s="363" t="s">
        <v>2809</v>
      </c>
      <c r="H514" s="344" t="s">
        <v>1135</v>
      </c>
      <c r="I514" s="337"/>
      <c r="J514" s="337"/>
      <c r="K514" s="350">
        <v>7942.6</v>
      </c>
      <c r="L514" s="350">
        <v>12399.29</v>
      </c>
    </row>
    <row r="515" spans="1:12">
      <c r="A515" s="153">
        <v>320</v>
      </c>
      <c r="B515" s="337">
        <v>100</v>
      </c>
      <c r="C515" s="337">
        <v>200</v>
      </c>
      <c r="D515" s="337">
        <v>100</v>
      </c>
      <c r="E515" s="152">
        <v>90</v>
      </c>
      <c r="F515" s="152">
        <v>0</v>
      </c>
      <c r="G515" s="363" t="s">
        <v>2810</v>
      </c>
      <c r="H515" s="344" t="s">
        <v>1136</v>
      </c>
      <c r="I515" s="337"/>
      <c r="J515" s="337"/>
      <c r="K515" s="350">
        <v>396108.93</v>
      </c>
      <c r="L515" s="350">
        <v>360793.62</v>
      </c>
    </row>
    <row r="516" spans="1:12" ht="25.5">
      <c r="A516" s="153">
        <v>320</v>
      </c>
      <c r="B516" s="337">
        <v>100</v>
      </c>
      <c r="C516" s="337">
        <v>200</v>
      </c>
      <c r="D516" s="337">
        <v>200</v>
      </c>
      <c r="E516" s="337">
        <v>0</v>
      </c>
      <c r="F516" s="337">
        <v>0</v>
      </c>
      <c r="G516" s="345" t="s">
        <v>2811</v>
      </c>
      <c r="H516" s="345" t="s">
        <v>1137</v>
      </c>
      <c r="I516" s="337" t="s">
        <v>1138</v>
      </c>
      <c r="J516" s="336"/>
      <c r="K516" s="351">
        <v>0</v>
      </c>
      <c r="L516" s="351">
        <v>0</v>
      </c>
    </row>
    <row r="517" spans="1:12">
      <c r="A517" s="153">
        <v>320</v>
      </c>
      <c r="B517" s="337">
        <v>100</v>
      </c>
      <c r="C517" s="337">
        <v>200</v>
      </c>
      <c r="D517" s="337">
        <v>200</v>
      </c>
      <c r="E517" s="152">
        <v>10</v>
      </c>
      <c r="F517" s="152">
        <v>0</v>
      </c>
      <c r="G517" s="363" t="s">
        <v>2812</v>
      </c>
      <c r="H517" s="344" t="s">
        <v>1108</v>
      </c>
      <c r="I517" s="337"/>
      <c r="J517" s="337"/>
      <c r="K517" s="350">
        <v>71677.679999999993</v>
      </c>
      <c r="L517" s="350">
        <v>47352.72</v>
      </c>
    </row>
    <row r="518" spans="1:12">
      <c r="A518" s="153">
        <v>320</v>
      </c>
      <c r="B518" s="337">
        <v>100</v>
      </c>
      <c r="C518" s="337">
        <v>200</v>
      </c>
      <c r="D518" s="337">
        <v>200</v>
      </c>
      <c r="E518" s="152">
        <v>20</v>
      </c>
      <c r="F518" s="152">
        <v>0</v>
      </c>
      <c r="G518" s="363" t="s">
        <v>2813</v>
      </c>
      <c r="H518" s="344" t="s">
        <v>1109</v>
      </c>
      <c r="I518" s="337"/>
      <c r="J518" s="337"/>
      <c r="K518" s="350">
        <v>2197.59</v>
      </c>
      <c r="L518" s="350">
        <v>3121.14</v>
      </c>
    </row>
    <row r="519" spans="1:12">
      <c r="A519" s="153">
        <v>320</v>
      </c>
      <c r="B519" s="337">
        <v>100</v>
      </c>
      <c r="C519" s="337">
        <v>200</v>
      </c>
      <c r="D519" s="337">
        <v>200</v>
      </c>
      <c r="E519" s="152">
        <v>30</v>
      </c>
      <c r="F519" s="152">
        <v>0</v>
      </c>
      <c r="G519" s="363" t="s">
        <v>2814</v>
      </c>
      <c r="H519" s="344" t="s">
        <v>1132</v>
      </c>
      <c r="I519" s="337"/>
      <c r="J519" s="337"/>
      <c r="K519" s="350">
        <v>4739.55</v>
      </c>
      <c r="L519" s="350">
        <v>8653.17</v>
      </c>
    </row>
    <row r="520" spans="1:12">
      <c r="A520" s="153">
        <v>320</v>
      </c>
      <c r="B520" s="337">
        <v>100</v>
      </c>
      <c r="C520" s="337">
        <v>200</v>
      </c>
      <c r="D520" s="337">
        <v>200</v>
      </c>
      <c r="E520" s="152">
        <v>40</v>
      </c>
      <c r="F520" s="152">
        <v>0</v>
      </c>
      <c r="G520" s="363" t="s">
        <v>2815</v>
      </c>
      <c r="H520" s="344" t="s">
        <v>1133</v>
      </c>
      <c r="I520" s="337"/>
      <c r="J520" s="337"/>
      <c r="K520" s="350">
        <v>5157.46</v>
      </c>
      <c r="L520" s="350">
        <v>3150.37</v>
      </c>
    </row>
    <row r="521" spans="1:12">
      <c r="A521" s="153">
        <v>320</v>
      </c>
      <c r="B521" s="337">
        <v>100</v>
      </c>
      <c r="C521" s="337">
        <v>200</v>
      </c>
      <c r="D521" s="337">
        <v>200</v>
      </c>
      <c r="E521" s="337">
        <v>50</v>
      </c>
      <c r="F521" s="337">
        <v>0</v>
      </c>
      <c r="G521" s="364" t="s">
        <v>2816</v>
      </c>
      <c r="H521" s="345" t="s">
        <v>1134</v>
      </c>
      <c r="I521" s="337"/>
      <c r="J521" s="336"/>
      <c r="K521" s="351">
        <v>0</v>
      </c>
      <c r="L521" s="351">
        <v>0</v>
      </c>
    </row>
    <row r="522" spans="1:12">
      <c r="A522" s="153">
        <v>320</v>
      </c>
      <c r="B522" s="337">
        <v>100</v>
      </c>
      <c r="C522" s="337">
        <v>200</v>
      </c>
      <c r="D522" s="337">
        <v>200</v>
      </c>
      <c r="E522" s="337">
        <v>50</v>
      </c>
      <c r="F522" s="152">
        <v>5</v>
      </c>
      <c r="G522" s="363" t="s">
        <v>2817</v>
      </c>
      <c r="H522" s="344" t="s">
        <v>1117</v>
      </c>
      <c r="I522" s="337"/>
      <c r="J522" s="337"/>
      <c r="K522" s="350">
        <v>0</v>
      </c>
      <c r="L522" s="350">
        <v>0</v>
      </c>
    </row>
    <row r="523" spans="1:12">
      <c r="A523" s="153">
        <v>320</v>
      </c>
      <c r="B523" s="337">
        <v>100</v>
      </c>
      <c r="C523" s="337">
        <v>200</v>
      </c>
      <c r="D523" s="337">
        <v>200</v>
      </c>
      <c r="E523" s="337">
        <v>50</v>
      </c>
      <c r="F523" s="152">
        <v>10</v>
      </c>
      <c r="G523" s="363" t="s">
        <v>2818</v>
      </c>
      <c r="H523" s="344" t="s">
        <v>1118</v>
      </c>
      <c r="I523" s="337"/>
      <c r="J523" s="337"/>
      <c r="K523" s="350">
        <v>0</v>
      </c>
      <c r="L523" s="350">
        <v>0</v>
      </c>
    </row>
    <row r="524" spans="1:12">
      <c r="A524" s="153">
        <v>320</v>
      </c>
      <c r="B524" s="337">
        <v>100</v>
      </c>
      <c r="C524" s="337">
        <v>200</v>
      </c>
      <c r="D524" s="337">
        <v>200</v>
      </c>
      <c r="E524" s="337">
        <v>50</v>
      </c>
      <c r="F524" s="152">
        <v>15</v>
      </c>
      <c r="G524" s="363" t="s">
        <v>2819</v>
      </c>
      <c r="H524" s="344" t="s">
        <v>1135</v>
      </c>
      <c r="I524" s="337"/>
      <c r="J524" s="337"/>
      <c r="K524" s="350">
        <v>0</v>
      </c>
      <c r="L524" s="350">
        <v>0</v>
      </c>
    </row>
    <row r="525" spans="1:12">
      <c r="A525" s="153">
        <v>320</v>
      </c>
      <c r="B525" s="337">
        <v>100</v>
      </c>
      <c r="C525" s="337">
        <v>200</v>
      </c>
      <c r="D525" s="337">
        <v>200</v>
      </c>
      <c r="E525" s="152">
        <v>90</v>
      </c>
      <c r="F525" s="152">
        <v>0</v>
      </c>
      <c r="G525" s="363" t="s">
        <v>2820</v>
      </c>
      <c r="H525" s="344" t="s">
        <v>1136</v>
      </c>
      <c r="I525" s="337"/>
      <c r="J525" s="337"/>
      <c r="K525" s="350">
        <v>25384.63</v>
      </c>
      <c r="L525" s="350">
        <v>18545.05</v>
      </c>
    </row>
    <row r="526" spans="1:12">
      <c r="A526" s="153">
        <v>320</v>
      </c>
      <c r="B526" s="337">
        <v>100</v>
      </c>
      <c r="C526" s="337">
        <v>200</v>
      </c>
      <c r="D526" s="152">
        <v>300</v>
      </c>
      <c r="E526" s="152">
        <v>0</v>
      </c>
      <c r="F526" s="152">
        <v>0</v>
      </c>
      <c r="G526" s="344" t="s">
        <v>2821</v>
      </c>
      <c r="H526" s="344" t="s">
        <v>1126</v>
      </c>
      <c r="I526" s="337" t="s">
        <v>1139</v>
      </c>
      <c r="J526" s="337"/>
      <c r="K526" s="350">
        <v>0</v>
      </c>
      <c r="L526" s="350">
        <v>0</v>
      </c>
    </row>
    <row r="527" spans="1:12">
      <c r="A527" s="153">
        <v>320</v>
      </c>
      <c r="B527" s="337">
        <v>200</v>
      </c>
      <c r="C527" s="337">
        <v>0</v>
      </c>
      <c r="D527" s="337">
        <v>0</v>
      </c>
      <c r="E527" s="337">
        <v>0</v>
      </c>
      <c r="F527" s="337">
        <v>0</v>
      </c>
      <c r="G527" s="345" t="s">
        <v>2822</v>
      </c>
      <c r="H527" s="345" t="s">
        <v>1140</v>
      </c>
      <c r="I527" s="337" t="s">
        <v>1141</v>
      </c>
      <c r="J527" s="336"/>
      <c r="K527" s="351">
        <v>0</v>
      </c>
      <c r="L527" s="351">
        <v>0</v>
      </c>
    </row>
    <row r="528" spans="1:12" ht="25.5">
      <c r="A528" s="153">
        <v>320</v>
      </c>
      <c r="B528" s="337">
        <v>200</v>
      </c>
      <c r="C528" s="337">
        <v>100</v>
      </c>
      <c r="D528" s="337">
        <v>0</v>
      </c>
      <c r="E528" s="337">
        <v>0</v>
      </c>
      <c r="F528" s="337">
        <v>0</v>
      </c>
      <c r="G528" s="345" t="s">
        <v>2823</v>
      </c>
      <c r="H528" s="345" t="s">
        <v>1142</v>
      </c>
      <c r="I528" s="337" t="s">
        <v>1143</v>
      </c>
      <c r="J528" s="336"/>
      <c r="K528" s="351">
        <v>0</v>
      </c>
      <c r="L528" s="351">
        <v>0</v>
      </c>
    </row>
    <row r="529" spans="1:12">
      <c r="A529" s="153">
        <v>320</v>
      </c>
      <c r="B529" s="337">
        <v>200</v>
      </c>
      <c r="C529" s="337">
        <v>100</v>
      </c>
      <c r="D529" s="152">
        <v>100</v>
      </c>
      <c r="E529" s="152">
        <v>0</v>
      </c>
      <c r="F529" s="152">
        <v>0</v>
      </c>
      <c r="G529" s="363" t="s">
        <v>2824</v>
      </c>
      <c r="H529" s="344" t="s">
        <v>1108</v>
      </c>
      <c r="I529" s="337"/>
      <c r="J529" s="337"/>
      <c r="K529" s="350">
        <v>8888213.9600000009</v>
      </c>
      <c r="L529" s="350">
        <v>8645832.5999999996</v>
      </c>
    </row>
    <row r="530" spans="1:12">
      <c r="A530" s="153">
        <v>320</v>
      </c>
      <c r="B530" s="337">
        <v>200</v>
      </c>
      <c r="C530" s="337">
        <v>100</v>
      </c>
      <c r="D530" s="152">
        <v>200</v>
      </c>
      <c r="E530" s="152">
        <v>0</v>
      </c>
      <c r="F530" s="152">
        <v>0</v>
      </c>
      <c r="G530" s="363" t="s">
        <v>2825</v>
      </c>
      <c r="H530" s="344" t="s">
        <v>1144</v>
      </c>
      <c r="I530" s="337"/>
      <c r="J530" s="337"/>
      <c r="K530" s="350">
        <v>134746.34</v>
      </c>
      <c r="L530" s="350">
        <v>141985.04</v>
      </c>
    </row>
    <row r="531" spans="1:12">
      <c r="A531" s="153">
        <v>320</v>
      </c>
      <c r="B531" s="337">
        <v>200</v>
      </c>
      <c r="C531" s="337">
        <v>100</v>
      </c>
      <c r="D531" s="152">
        <v>300</v>
      </c>
      <c r="E531" s="152">
        <v>0</v>
      </c>
      <c r="F531" s="152">
        <v>0</v>
      </c>
      <c r="G531" s="363" t="s">
        <v>2826</v>
      </c>
      <c r="H531" s="344" t="s">
        <v>1145</v>
      </c>
      <c r="I531" s="337"/>
      <c r="J531" s="337"/>
      <c r="K531" s="350">
        <v>140000.69</v>
      </c>
      <c r="L531" s="350">
        <v>621819.57999999996</v>
      </c>
    </row>
    <row r="532" spans="1:12">
      <c r="A532" s="153">
        <v>320</v>
      </c>
      <c r="B532" s="337">
        <v>200</v>
      </c>
      <c r="C532" s="337">
        <v>100</v>
      </c>
      <c r="D532" s="152">
        <v>301</v>
      </c>
      <c r="E532" s="152">
        <v>0</v>
      </c>
      <c r="F532" s="152">
        <v>0</v>
      </c>
      <c r="G532" s="363" t="s">
        <v>2255</v>
      </c>
      <c r="H532" s="344" t="s">
        <v>2256</v>
      </c>
      <c r="I532" s="337"/>
      <c r="J532" s="337"/>
      <c r="K532" s="350">
        <v>532360.41</v>
      </c>
      <c r="L532" s="350">
        <v>0</v>
      </c>
    </row>
    <row r="533" spans="1:12">
      <c r="A533" s="153">
        <v>320</v>
      </c>
      <c r="B533" s="337">
        <v>200</v>
      </c>
      <c r="C533" s="337">
        <v>100</v>
      </c>
      <c r="D533" s="152">
        <v>302</v>
      </c>
      <c r="E533" s="152">
        <v>0</v>
      </c>
      <c r="F533" s="152">
        <v>0</v>
      </c>
      <c r="G533" s="363" t="s">
        <v>2257</v>
      </c>
      <c r="H533" s="344" t="s">
        <v>2258</v>
      </c>
      <c r="I533" s="337"/>
      <c r="J533" s="337"/>
      <c r="K533" s="350">
        <v>1084420.1399999999</v>
      </c>
      <c r="L533" s="350">
        <v>0</v>
      </c>
    </row>
    <row r="534" spans="1:12">
      <c r="A534" s="153">
        <v>320</v>
      </c>
      <c r="B534" s="337">
        <v>200</v>
      </c>
      <c r="C534" s="337">
        <v>100</v>
      </c>
      <c r="D534" s="152">
        <v>400</v>
      </c>
      <c r="E534" s="152">
        <v>0</v>
      </c>
      <c r="F534" s="152">
        <v>0</v>
      </c>
      <c r="G534" s="363" t="s">
        <v>2827</v>
      </c>
      <c r="H534" s="344" t="s">
        <v>1146</v>
      </c>
      <c r="I534" s="337"/>
      <c r="J534" s="337"/>
      <c r="K534" s="350">
        <v>613444.43000000005</v>
      </c>
      <c r="L534" s="350">
        <v>1903317.75</v>
      </c>
    </row>
    <row r="535" spans="1:12">
      <c r="A535" s="153">
        <v>320</v>
      </c>
      <c r="B535" s="337">
        <v>200</v>
      </c>
      <c r="C535" s="337">
        <v>100</v>
      </c>
      <c r="D535" s="152">
        <v>500</v>
      </c>
      <c r="E535" s="152">
        <v>0</v>
      </c>
      <c r="F535" s="152">
        <v>0</v>
      </c>
      <c r="G535" s="363" t="s">
        <v>2828</v>
      </c>
      <c r="H535" s="344" t="s">
        <v>1133</v>
      </c>
      <c r="I535" s="337"/>
      <c r="J535" s="337"/>
      <c r="K535" s="350">
        <v>700553.1</v>
      </c>
      <c r="L535" s="350">
        <v>646413.44999999995</v>
      </c>
    </row>
    <row r="536" spans="1:12">
      <c r="A536" s="153">
        <v>320</v>
      </c>
      <c r="B536" s="337">
        <v>200</v>
      </c>
      <c r="C536" s="337">
        <v>100</v>
      </c>
      <c r="D536" s="337">
        <v>600</v>
      </c>
      <c r="E536" s="337">
        <v>0</v>
      </c>
      <c r="F536" s="337">
        <v>0</v>
      </c>
      <c r="G536" s="364" t="s">
        <v>2829</v>
      </c>
      <c r="H536" s="345" t="s">
        <v>1116</v>
      </c>
      <c r="I536" s="337"/>
      <c r="J536" s="337"/>
      <c r="K536" s="350">
        <v>0</v>
      </c>
      <c r="L536" s="350">
        <v>0</v>
      </c>
    </row>
    <row r="537" spans="1:12">
      <c r="A537" s="153">
        <v>320</v>
      </c>
      <c r="B537" s="337">
        <v>200</v>
      </c>
      <c r="C537" s="337">
        <v>100</v>
      </c>
      <c r="D537" s="152">
        <v>600</v>
      </c>
      <c r="E537" s="152">
        <v>5</v>
      </c>
      <c r="F537" s="152">
        <v>0</v>
      </c>
      <c r="G537" s="363" t="s">
        <v>2830</v>
      </c>
      <c r="H537" s="344" t="s">
        <v>1117</v>
      </c>
      <c r="I537" s="337"/>
      <c r="J537" s="337"/>
      <c r="K537" s="350">
        <v>0</v>
      </c>
      <c r="L537" s="350">
        <v>0</v>
      </c>
    </row>
    <row r="538" spans="1:12">
      <c r="A538" s="153">
        <v>320</v>
      </c>
      <c r="B538" s="337">
        <v>200</v>
      </c>
      <c r="C538" s="337">
        <v>100</v>
      </c>
      <c r="D538" s="152">
        <v>600</v>
      </c>
      <c r="E538" s="152">
        <v>10</v>
      </c>
      <c r="F538" s="152">
        <v>0</v>
      </c>
      <c r="G538" s="363" t="s">
        <v>2831</v>
      </c>
      <c r="H538" s="344" t="s">
        <v>1118</v>
      </c>
      <c r="I538" s="337"/>
      <c r="J538" s="337"/>
      <c r="K538" s="350">
        <v>0</v>
      </c>
      <c r="L538" s="350">
        <v>464.66</v>
      </c>
    </row>
    <row r="539" spans="1:12">
      <c r="A539" s="153">
        <v>320</v>
      </c>
      <c r="B539" s="337">
        <v>200</v>
      </c>
      <c r="C539" s="337">
        <v>100</v>
      </c>
      <c r="D539" s="152">
        <v>600</v>
      </c>
      <c r="E539" s="152">
        <v>15</v>
      </c>
      <c r="F539" s="152">
        <v>0</v>
      </c>
      <c r="G539" s="363" t="s">
        <v>2832</v>
      </c>
      <c r="H539" s="344" t="s">
        <v>1147</v>
      </c>
      <c r="I539" s="337"/>
      <c r="J539" s="337"/>
      <c r="K539" s="350">
        <v>1694.18</v>
      </c>
      <c r="L539" s="350">
        <v>0</v>
      </c>
    </row>
    <row r="540" spans="1:12">
      <c r="A540" s="153">
        <v>320</v>
      </c>
      <c r="B540" s="337">
        <v>200</v>
      </c>
      <c r="C540" s="337">
        <v>100</v>
      </c>
      <c r="D540" s="152">
        <v>700</v>
      </c>
      <c r="E540" s="152">
        <v>0</v>
      </c>
      <c r="F540" s="152">
        <v>0</v>
      </c>
      <c r="G540" s="363" t="s">
        <v>2833</v>
      </c>
      <c r="H540" s="344" t="s">
        <v>1136</v>
      </c>
      <c r="I540" s="337"/>
      <c r="J540" s="337"/>
      <c r="K540" s="350">
        <v>3571856.69</v>
      </c>
      <c r="L540" s="350">
        <v>3523259.46</v>
      </c>
    </row>
    <row r="541" spans="1:12" ht="25.5">
      <c r="A541" s="153">
        <v>320</v>
      </c>
      <c r="B541" s="337">
        <v>200</v>
      </c>
      <c r="C541" s="337">
        <v>200</v>
      </c>
      <c r="D541" s="337">
        <v>0</v>
      </c>
      <c r="E541" s="337">
        <v>0</v>
      </c>
      <c r="F541" s="337">
        <v>0</v>
      </c>
      <c r="G541" s="345" t="s">
        <v>2834</v>
      </c>
      <c r="H541" s="345" t="s">
        <v>1148</v>
      </c>
      <c r="I541" s="337" t="s">
        <v>1149</v>
      </c>
      <c r="J541" s="336"/>
      <c r="K541" s="351">
        <v>0</v>
      </c>
      <c r="L541" s="351">
        <v>0</v>
      </c>
    </row>
    <row r="542" spans="1:12">
      <c r="A542" s="153">
        <v>320</v>
      </c>
      <c r="B542" s="337">
        <v>200</v>
      </c>
      <c r="C542" s="337">
        <v>200</v>
      </c>
      <c r="D542" s="152">
        <v>100</v>
      </c>
      <c r="E542" s="152">
        <v>0</v>
      </c>
      <c r="F542" s="152">
        <v>0</v>
      </c>
      <c r="G542" s="363" t="s">
        <v>2835</v>
      </c>
      <c r="H542" s="344" t="s">
        <v>1108</v>
      </c>
      <c r="I542" s="337"/>
      <c r="J542" s="337"/>
      <c r="K542" s="350">
        <v>337611.36</v>
      </c>
      <c r="L542" s="350">
        <v>1872598.74</v>
      </c>
    </row>
    <row r="543" spans="1:12">
      <c r="A543" s="153">
        <v>320</v>
      </c>
      <c r="B543" s="337">
        <v>200</v>
      </c>
      <c r="C543" s="337">
        <v>200</v>
      </c>
      <c r="D543" s="152">
        <v>200</v>
      </c>
      <c r="E543" s="152">
        <v>0</v>
      </c>
      <c r="F543" s="152">
        <v>0</v>
      </c>
      <c r="G543" s="363" t="s">
        <v>2836</v>
      </c>
      <c r="H543" s="344" t="s">
        <v>1144</v>
      </c>
      <c r="I543" s="337"/>
      <c r="J543" s="337"/>
      <c r="K543" s="350">
        <v>8706.16</v>
      </c>
      <c r="L543" s="350">
        <v>13648.45</v>
      </c>
    </row>
    <row r="544" spans="1:12">
      <c r="A544" s="153">
        <v>320</v>
      </c>
      <c r="B544" s="337">
        <v>200</v>
      </c>
      <c r="C544" s="337">
        <v>200</v>
      </c>
      <c r="D544" s="152">
        <v>300</v>
      </c>
      <c r="E544" s="152">
        <v>0</v>
      </c>
      <c r="F544" s="152">
        <v>0</v>
      </c>
      <c r="G544" s="363" t="s">
        <v>2837</v>
      </c>
      <c r="H544" s="344" t="s">
        <v>1145</v>
      </c>
      <c r="I544" s="337"/>
      <c r="J544" s="337"/>
      <c r="K544" s="350">
        <v>4959.49</v>
      </c>
      <c r="L544" s="350">
        <v>29404.720000000001</v>
      </c>
    </row>
    <row r="545" spans="1:12">
      <c r="A545" s="153">
        <v>320</v>
      </c>
      <c r="B545" s="337">
        <v>200</v>
      </c>
      <c r="C545" s="337">
        <v>200</v>
      </c>
      <c r="D545" s="152">
        <v>301</v>
      </c>
      <c r="E545" s="152">
        <v>0</v>
      </c>
      <c r="F545" s="152">
        <v>0</v>
      </c>
      <c r="G545" s="363" t="s">
        <v>2259</v>
      </c>
      <c r="H545" s="344" t="s">
        <v>2256</v>
      </c>
      <c r="I545" s="337"/>
      <c r="J545" s="337"/>
      <c r="K545" s="350">
        <v>16545.93</v>
      </c>
      <c r="L545" s="350">
        <v>0</v>
      </c>
    </row>
    <row r="546" spans="1:12">
      <c r="A546" s="153">
        <v>320</v>
      </c>
      <c r="B546" s="337">
        <v>200</v>
      </c>
      <c r="C546" s="337">
        <v>200</v>
      </c>
      <c r="D546" s="152">
        <v>302</v>
      </c>
      <c r="E546" s="152">
        <v>0</v>
      </c>
      <c r="F546" s="152">
        <v>0</v>
      </c>
      <c r="G546" s="363" t="s">
        <v>2260</v>
      </c>
      <c r="H546" s="344" t="s">
        <v>2258</v>
      </c>
      <c r="I546" s="337"/>
      <c r="J546" s="337"/>
      <c r="K546" s="350">
        <v>6141.59</v>
      </c>
      <c r="L546" s="350">
        <v>0</v>
      </c>
    </row>
    <row r="547" spans="1:12">
      <c r="A547" s="153">
        <v>320</v>
      </c>
      <c r="B547" s="337">
        <v>200</v>
      </c>
      <c r="C547" s="337">
        <v>200</v>
      </c>
      <c r="D547" s="152">
        <v>400</v>
      </c>
      <c r="E547" s="152">
        <v>0</v>
      </c>
      <c r="F547" s="152">
        <v>0</v>
      </c>
      <c r="G547" s="363" t="s">
        <v>2838</v>
      </c>
      <c r="H547" s="344" t="s">
        <v>1146</v>
      </c>
      <c r="I547" s="337"/>
      <c r="J547" s="337"/>
      <c r="K547" s="350">
        <v>27583.8</v>
      </c>
      <c r="L547" s="350">
        <v>54348.33</v>
      </c>
    </row>
    <row r="548" spans="1:12">
      <c r="A548" s="153">
        <v>320</v>
      </c>
      <c r="B548" s="337">
        <v>200</v>
      </c>
      <c r="C548" s="337">
        <v>200</v>
      </c>
      <c r="D548" s="152">
        <v>500</v>
      </c>
      <c r="E548" s="152">
        <v>0</v>
      </c>
      <c r="F548" s="152">
        <v>0</v>
      </c>
      <c r="G548" s="363" t="s">
        <v>2839</v>
      </c>
      <c r="H548" s="344" t="s">
        <v>1133</v>
      </c>
      <c r="I548" s="337"/>
      <c r="J548" s="337"/>
      <c r="K548" s="350">
        <v>34732.57</v>
      </c>
      <c r="L548" s="350">
        <v>57522.77</v>
      </c>
    </row>
    <row r="549" spans="1:12">
      <c r="A549" s="153">
        <v>320</v>
      </c>
      <c r="B549" s="337">
        <v>200</v>
      </c>
      <c r="C549" s="337">
        <v>200</v>
      </c>
      <c r="D549" s="337">
        <v>600</v>
      </c>
      <c r="E549" s="337">
        <v>0</v>
      </c>
      <c r="F549" s="337">
        <v>0</v>
      </c>
      <c r="G549" s="364" t="s">
        <v>2840</v>
      </c>
      <c r="H549" s="345" t="s">
        <v>1116</v>
      </c>
      <c r="I549" s="337"/>
      <c r="J549" s="336"/>
      <c r="K549" s="351">
        <v>0</v>
      </c>
      <c r="L549" s="351">
        <v>0</v>
      </c>
    </row>
    <row r="550" spans="1:12">
      <c r="A550" s="153">
        <v>320</v>
      </c>
      <c r="B550" s="337">
        <v>200</v>
      </c>
      <c r="C550" s="337">
        <v>200</v>
      </c>
      <c r="D550" s="152">
        <v>600</v>
      </c>
      <c r="E550" s="152">
        <v>5</v>
      </c>
      <c r="F550" s="152">
        <v>0</v>
      </c>
      <c r="G550" s="363" t="s">
        <v>2841</v>
      </c>
      <c r="H550" s="344" t="s">
        <v>1117</v>
      </c>
      <c r="I550" s="337"/>
      <c r="J550" s="337"/>
      <c r="K550" s="350">
        <v>0</v>
      </c>
      <c r="L550" s="350">
        <v>0</v>
      </c>
    </row>
    <row r="551" spans="1:12">
      <c r="A551" s="153">
        <v>320</v>
      </c>
      <c r="B551" s="337">
        <v>200</v>
      </c>
      <c r="C551" s="337">
        <v>200</v>
      </c>
      <c r="D551" s="152">
        <v>600</v>
      </c>
      <c r="E551" s="152">
        <v>10</v>
      </c>
      <c r="F551" s="152">
        <v>0</v>
      </c>
      <c r="G551" s="363" t="s">
        <v>2842</v>
      </c>
      <c r="H551" s="344" t="s">
        <v>1118</v>
      </c>
      <c r="I551" s="337"/>
      <c r="J551" s="337"/>
      <c r="K551" s="350">
        <v>0</v>
      </c>
      <c r="L551" s="350">
        <v>0</v>
      </c>
    </row>
    <row r="552" spans="1:12">
      <c r="A552" s="153">
        <v>320</v>
      </c>
      <c r="B552" s="337">
        <v>200</v>
      </c>
      <c r="C552" s="337">
        <v>200</v>
      </c>
      <c r="D552" s="152">
        <v>600</v>
      </c>
      <c r="E552" s="152">
        <v>15</v>
      </c>
      <c r="F552" s="152">
        <v>0</v>
      </c>
      <c r="G552" s="363" t="s">
        <v>2843</v>
      </c>
      <c r="H552" s="344" t="s">
        <v>1147</v>
      </c>
      <c r="I552" s="337"/>
      <c r="J552" s="337"/>
      <c r="K552" s="350">
        <v>345.67</v>
      </c>
      <c r="L552" s="350">
        <v>0</v>
      </c>
    </row>
    <row r="553" spans="1:12">
      <c r="A553" s="153">
        <v>320</v>
      </c>
      <c r="B553" s="337">
        <v>200</v>
      </c>
      <c r="C553" s="337">
        <v>200</v>
      </c>
      <c r="D553" s="152">
        <v>700</v>
      </c>
      <c r="E553" s="152">
        <v>0</v>
      </c>
      <c r="F553" s="152">
        <v>0</v>
      </c>
      <c r="G553" s="363" t="s">
        <v>2844</v>
      </c>
      <c r="H553" s="344" t="s">
        <v>1136</v>
      </c>
      <c r="I553" s="337"/>
      <c r="J553" s="337"/>
      <c r="K553" s="350">
        <v>135487.87</v>
      </c>
      <c r="L553" s="350">
        <v>641304.85</v>
      </c>
    </row>
    <row r="554" spans="1:12" ht="25.5">
      <c r="A554" s="153">
        <v>320</v>
      </c>
      <c r="B554" s="337">
        <v>200</v>
      </c>
      <c r="C554" s="337">
        <v>201</v>
      </c>
      <c r="D554" s="152">
        <v>0</v>
      </c>
      <c r="E554" s="152">
        <v>0</v>
      </c>
      <c r="F554" s="152">
        <v>0</v>
      </c>
      <c r="G554" s="363" t="s">
        <v>2261</v>
      </c>
      <c r="H554" s="344" t="s">
        <v>2262</v>
      </c>
      <c r="I554" s="337" t="s">
        <v>1149</v>
      </c>
      <c r="J554" s="337"/>
      <c r="K554" s="351">
        <v>0</v>
      </c>
      <c r="L554" s="351">
        <v>0</v>
      </c>
    </row>
    <row r="555" spans="1:12">
      <c r="A555" s="153">
        <v>320</v>
      </c>
      <c r="B555" s="337">
        <v>200</v>
      </c>
      <c r="C555" s="337">
        <v>201</v>
      </c>
      <c r="D555" s="152">
        <v>100</v>
      </c>
      <c r="E555" s="152">
        <v>0</v>
      </c>
      <c r="F555" s="152">
        <v>0</v>
      </c>
      <c r="G555" s="363" t="s">
        <v>2263</v>
      </c>
      <c r="H555" s="344" t="s">
        <v>1108</v>
      </c>
      <c r="I555" s="337"/>
      <c r="J555" s="337"/>
      <c r="K555" s="350">
        <v>1252169.8</v>
      </c>
      <c r="L555" s="350">
        <v>0</v>
      </c>
    </row>
    <row r="556" spans="1:12">
      <c r="A556" s="153">
        <v>320</v>
      </c>
      <c r="B556" s="337">
        <v>200</v>
      </c>
      <c r="C556" s="337">
        <v>201</v>
      </c>
      <c r="D556" s="152">
        <v>200</v>
      </c>
      <c r="E556" s="152">
        <v>0</v>
      </c>
      <c r="F556" s="152">
        <v>0</v>
      </c>
      <c r="G556" s="363" t="s">
        <v>2264</v>
      </c>
      <c r="H556" s="344" t="s">
        <v>1144</v>
      </c>
      <c r="I556" s="337"/>
      <c r="J556" s="337"/>
      <c r="K556" s="350">
        <v>0</v>
      </c>
      <c r="L556" s="350">
        <v>0</v>
      </c>
    </row>
    <row r="557" spans="1:12">
      <c r="A557" s="153">
        <v>320</v>
      </c>
      <c r="B557" s="337">
        <v>200</v>
      </c>
      <c r="C557" s="337">
        <v>201</v>
      </c>
      <c r="D557" s="152">
        <v>300</v>
      </c>
      <c r="E557" s="152">
        <v>0</v>
      </c>
      <c r="F557" s="152">
        <v>0</v>
      </c>
      <c r="G557" s="363" t="s">
        <v>2265</v>
      </c>
      <c r="H557" s="344" t="s">
        <v>1145</v>
      </c>
      <c r="I557" s="337"/>
      <c r="J557" s="337"/>
      <c r="K557" s="350">
        <v>0</v>
      </c>
      <c r="L557" s="350">
        <v>0</v>
      </c>
    </row>
    <row r="558" spans="1:12">
      <c r="A558" s="153">
        <v>320</v>
      </c>
      <c r="B558" s="337">
        <v>200</v>
      </c>
      <c r="C558" s="337">
        <v>201</v>
      </c>
      <c r="D558" s="152">
        <v>301</v>
      </c>
      <c r="E558" s="152">
        <v>0</v>
      </c>
      <c r="F558" s="152">
        <v>0</v>
      </c>
      <c r="G558" s="363" t="s">
        <v>2266</v>
      </c>
      <c r="H558" s="344" t="s">
        <v>2267</v>
      </c>
      <c r="I558" s="337"/>
      <c r="J558" s="337"/>
      <c r="K558" s="350">
        <v>0</v>
      </c>
      <c r="L558" s="350">
        <v>0</v>
      </c>
    </row>
    <row r="559" spans="1:12">
      <c r="A559" s="153">
        <v>320</v>
      </c>
      <c r="B559" s="337">
        <v>200</v>
      </c>
      <c r="C559" s="337">
        <v>201</v>
      </c>
      <c r="D559" s="152">
        <v>302</v>
      </c>
      <c r="E559" s="152">
        <v>0</v>
      </c>
      <c r="F559" s="152">
        <v>0</v>
      </c>
      <c r="G559" s="363" t="s">
        <v>2268</v>
      </c>
      <c r="H559" s="344" t="s">
        <v>2269</v>
      </c>
      <c r="I559" s="337"/>
      <c r="J559" s="337"/>
      <c r="K559" s="350">
        <v>0</v>
      </c>
      <c r="L559" s="350">
        <v>0</v>
      </c>
    </row>
    <row r="560" spans="1:12">
      <c r="A560" s="153">
        <v>320</v>
      </c>
      <c r="B560" s="337">
        <v>200</v>
      </c>
      <c r="C560" s="337">
        <v>201</v>
      </c>
      <c r="D560" s="152">
        <v>400</v>
      </c>
      <c r="E560" s="152">
        <v>0</v>
      </c>
      <c r="F560" s="152">
        <v>0</v>
      </c>
      <c r="G560" s="363" t="s">
        <v>2270</v>
      </c>
      <c r="H560" s="344" t="s">
        <v>1146</v>
      </c>
      <c r="I560" s="337"/>
      <c r="J560" s="337"/>
      <c r="K560" s="350">
        <v>0</v>
      </c>
      <c r="L560" s="350">
        <v>0</v>
      </c>
    </row>
    <row r="561" spans="1:12">
      <c r="A561" s="153">
        <v>320</v>
      </c>
      <c r="B561" s="337">
        <v>200</v>
      </c>
      <c r="C561" s="337">
        <v>201</v>
      </c>
      <c r="D561" s="152">
        <v>500</v>
      </c>
      <c r="E561" s="152">
        <v>0</v>
      </c>
      <c r="F561" s="152">
        <v>0</v>
      </c>
      <c r="G561" s="363" t="s">
        <v>2271</v>
      </c>
      <c r="H561" s="344" t="s">
        <v>1133</v>
      </c>
      <c r="I561" s="337"/>
      <c r="J561" s="337"/>
      <c r="K561" s="350">
        <v>0</v>
      </c>
      <c r="L561" s="350">
        <v>0</v>
      </c>
    </row>
    <row r="562" spans="1:12">
      <c r="A562" s="153">
        <v>320</v>
      </c>
      <c r="B562" s="337">
        <v>200</v>
      </c>
      <c r="C562" s="337">
        <v>201</v>
      </c>
      <c r="D562" s="152">
        <v>600</v>
      </c>
      <c r="E562" s="152">
        <v>0</v>
      </c>
      <c r="F562" s="152">
        <v>0</v>
      </c>
      <c r="G562" s="363" t="s">
        <v>2272</v>
      </c>
      <c r="H562" s="344" t="s">
        <v>1116</v>
      </c>
      <c r="I562" s="337"/>
      <c r="J562" s="337"/>
      <c r="K562" s="350">
        <v>0</v>
      </c>
      <c r="L562" s="350">
        <v>0</v>
      </c>
    </row>
    <row r="563" spans="1:12">
      <c r="A563" s="153">
        <v>320</v>
      </c>
      <c r="B563" s="337">
        <v>200</v>
      </c>
      <c r="C563" s="337">
        <v>201</v>
      </c>
      <c r="D563" s="152">
        <v>600</v>
      </c>
      <c r="E563" s="152">
        <v>5</v>
      </c>
      <c r="F563" s="152">
        <v>0</v>
      </c>
      <c r="G563" s="363" t="s">
        <v>2273</v>
      </c>
      <c r="H563" s="344" t="s">
        <v>1117</v>
      </c>
      <c r="I563" s="337"/>
      <c r="J563" s="337"/>
      <c r="K563" s="350">
        <v>0</v>
      </c>
      <c r="L563" s="350">
        <v>0</v>
      </c>
    </row>
    <row r="564" spans="1:12">
      <c r="A564" s="153">
        <v>320</v>
      </c>
      <c r="B564" s="337">
        <v>200</v>
      </c>
      <c r="C564" s="337">
        <v>201</v>
      </c>
      <c r="D564" s="152">
        <v>600</v>
      </c>
      <c r="E564" s="152">
        <v>10</v>
      </c>
      <c r="F564" s="152">
        <v>0</v>
      </c>
      <c r="G564" s="363" t="s">
        <v>2274</v>
      </c>
      <c r="H564" s="344" t="s">
        <v>1118</v>
      </c>
      <c r="I564" s="337"/>
      <c r="J564" s="337"/>
      <c r="K564" s="350">
        <v>0</v>
      </c>
      <c r="L564" s="350">
        <v>0</v>
      </c>
    </row>
    <row r="565" spans="1:12">
      <c r="A565" s="153">
        <v>320</v>
      </c>
      <c r="B565" s="337">
        <v>200</v>
      </c>
      <c r="C565" s="337">
        <v>201</v>
      </c>
      <c r="D565" s="152">
        <v>600</v>
      </c>
      <c r="E565" s="152">
        <v>15</v>
      </c>
      <c r="F565" s="152">
        <v>0</v>
      </c>
      <c r="G565" s="363" t="s">
        <v>2275</v>
      </c>
      <c r="H565" s="344" t="s">
        <v>1147</v>
      </c>
      <c r="I565" s="337"/>
      <c r="J565" s="337"/>
      <c r="K565" s="350">
        <v>204.13</v>
      </c>
      <c r="L565" s="350">
        <v>0</v>
      </c>
    </row>
    <row r="566" spans="1:12">
      <c r="A566" s="153">
        <v>320</v>
      </c>
      <c r="B566" s="337">
        <v>200</v>
      </c>
      <c r="C566" s="337">
        <v>201</v>
      </c>
      <c r="D566" s="152">
        <v>700</v>
      </c>
      <c r="E566" s="152">
        <v>0</v>
      </c>
      <c r="F566" s="152">
        <v>0</v>
      </c>
      <c r="G566" s="363" t="s">
        <v>2276</v>
      </c>
      <c r="H566" s="344" t="s">
        <v>1136</v>
      </c>
      <c r="I566" s="337"/>
      <c r="J566" s="337"/>
      <c r="K566" s="350">
        <v>397359.85</v>
      </c>
      <c r="L566" s="350">
        <v>0</v>
      </c>
    </row>
    <row r="567" spans="1:12" ht="25.5">
      <c r="A567" s="153">
        <v>320</v>
      </c>
      <c r="B567" s="337">
        <v>200</v>
      </c>
      <c r="C567" s="337">
        <v>202</v>
      </c>
      <c r="D567" s="152">
        <v>0</v>
      </c>
      <c r="E567" s="152">
        <v>0</v>
      </c>
      <c r="F567" s="152">
        <v>0</v>
      </c>
      <c r="G567" s="363" t="s">
        <v>2277</v>
      </c>
      <c r="H567" s="344" t="s">
        <v>2278</v>
      </c>
      <c r="I567" s="337" t="s">
        <v>1149</v>
      </c>
      <c r="J567" s="337"/>
      <c r="K567" s="351">
        <v>0</v>
      </c>
      <c r="L567" s="351">
        <v>0</v>
      </c>
    </row>
    <row r="568" spans="1:12">
      <c r="A568" s="153">
        <v>320</v>
      </c>
      <c r="B568" s="337">
        <v>200</v>
      </c>
      <c r="C568" s="337">
        <v>202</v>
      </c>
      <c r="D568" s="152">
        <v>100</v>
      </c>
      <c r="E568" s="152">
        <v>0</v>
      </c>
      <c r="F568" s="152">
        <v>0</v>
      </c>
      <c r="G568" s="363" t="s">
        <v>2279</v>
      </c>
      <c r="H568" s="344" t="s">
        <v>1108</v>
      </c>
      <c r="I568" s="337"/>
      <c r="J568" s="337"/>
      <c r="K568" s="350">
        <v>505697.36</v>
      </c>
      <c r="L568" s="350">
        <v>0</v>
      </c>
    </row>
    <row r="569" spans="1:12">
      <c r="A569" s="153">
        <v>320</v>
      </c>
      <c r="B569" s="337">
        <v>200</v>
      </c>
      <c r="C569" s="337">
        <v>202</v>
      </c>
      <c r="D569" s="152">
        <v>200</v>
      </c>
      <c r="E569" s="152">
        <v>0</v>
      </c>
      <c r="F569" s="152">
        <v>0</v>
      </c>
      <c r="G569" s="363" t="s">
        <v>2280</v>
      </c>
      <c r="H569" s="344" t="s">
        <v>1144</v>
      </c>
      <c r="I569" s="337"/>
      <c r="J569" s="337"/>
      <c r="K569" s="350">
        <v>0</v>
      </c>
      <c r="L569" s="350">
        <v>0</v>
      </c>
    </row>
    <row r="570" spans="1:12">
      <c r="A570" s="153">
        <v>320</v>
      </c>
      <c r="B570" s="337">
        <v>200</v>
      </c>
      <c r="C570" s="337">
        <v>202</v>
      </c>
      <c r="D570" s="152">
        <v>300</v>
      </c>
      <c r="E570" s="152">
        <v>0</v>
      </c>
      <c r="F570" s="152">
        <v>0</v>
      </c>
      <c r="G570" s="363" t="s">
        <v>2281</v>
      </c>
      <c r="H570" s="344" t="s">
        <v>1145</v>
      </c>
      <c r="I570" s="337"/>
      <c r="J570" s="337"/>
      <c r="K570" s="350">
        <v>0</v>
      </c>
      <c r="L570" s="350">
        <v>0</v>
      </c>
    </row>
    <row r="571" spans="1:12">
      <c r="A571" s="153">
        <v>320</v>
      </c>
      <c r="B571" s="337">
        <v>200</v>
      </c>
      <c r="C571" s="337">
        <v>202</v>
      </c>
      <c r="D571" s="152">
        <v>301</v>
      </c>
      <c r="E571" s="152">
        <v>0</v>
      </c>
      <c r="F571" s="152">
        <v>0</v>
      </c>
      <c r="G571" s="363" t="s">
        <v>2282</v>
      </c>
      <c r="H571" s="344" t="s">
        <v>2267</v>
      </c>
      <c r="I571" s="337"/>
      <c r="J571" s="337"/>
      <c r="K571" s="350">
        <v>0</v>
      </c>
      <c r="L571" s="350">
        <v>0</v>
      </c>
    </row>
    <row r="572" spans="1:12">
      <c r="A572" s="153">
        <v>320</v>
      </c>
      <c r="B572" s="337">
        <v>200</v>
      </c>
      <c r="C572" s="337">
        <v>202</v>
      </c>
      <c r="D572" s="152">
        <v>302</v>
      </c>
      <c r="E572" s="152">
        <v>0</v>
      </c>
      <c r="F572" s="152">
        <v>0</v>
      </c>
      <c r="G572" s="363" t="s">
        <v>2283</v>
      </c>
      <c r="H572" s="344" t="s">
        <v>2269</v>
      </c>
      <c r="I572" s="337"/>
      <c r="J572" s="337"/>
      <c r="K572" s="350">
        <v>0</v>
      </c>
      <c r="L572" s="350">
        <v>0</v>
      </c>
    </row>
    <row r="573" spans="1:12">
      <c r="A573" s="153">
        <v>320</v>
      </c>
      <c r="B573" s="337">
        <v>200</v>
      </c>
      <c r="C573" s="337">
        <v>202</v>
      </c>
      <c r="D573" s="152">
        <v>400</v>
      </c>
      <c r="E573" s="152">
        <v>0</v>
      </c>
      <c r="F573" s="152">
        <v>0</v>
      </c>
      <c r="G573" s="363" t="s">
        <v>2284</v>
      </c>
      <c r="H573" s="344" t="s">
        <v>1146</v>
      </c>
      <c r="I573" s="337"/>
      <c r="J573" s="337"/>
      <c r="K573" s="350">
        <v>0</v>
      </c>
      <c r="L573" s="350">
        <v>0</v>
      </c>
    </row>
    <row r="574" spans="1:12">
      <c r="A574" s="153">
        <v>320</v>
      </c>
      <c r="B574" s="337">
        <v>200</v>
      </c>
      <c r="C574" s="337">
        <v>202</v>
      </c>
      <c r="D574" s="152">
        <v>500</v>
      </c>
      <c r="E574" s="152">
        <v>0</v>
      </c>
      <c r="F574" s="152">
        <v>0</v>
      </c>
      <c r="G574" s="363" t="s">
        <v>2285</v>
      </c>
      <c r="H574" s="344" t="s">
        <v>1133</v>
      </c>
      <c r="I574" s="337"/>
      <c r="J574" s="337"/>
      <c r="K574" s="350">
        <v>0</v>
      </c>
      <c r="L574" s="350">
        <v>0</v>
      </c>
    </row>
    <row r="575" spans="1:12">
      <c r="A575" s="153">
        <v>320</v>
      </c>
      <c r="B575" s="337">
        <v>200</v>
      </c>
      <c r="C575" s="337">
        <v>202</v>
      </c>
      <c r="D575" s="152">
        <v>600</v>
      </c>
      <c r="E575" s="152">
        <v>0</v>
      </c>
      <c r="F575" s="152">
        <v>0</v>
      </c>
      <c r="G575" s="363" t="s">
        <v>2286</v>
      </c>
      <c r="H575" s="344" t="s">
        <v>1116</v>
      </c>
      <c r="I575" s="337"/>
      <c r="J575" s="337"/>
      <c r="K575" s="350">
        <v>0</v>
      </c>
      <c r="L575" s="350">
        <v>0</v>
      </c>
    </row>
    <row r="576" spans="1:12">
      <c r="A576" s="153">
        <v>320</v>
      </c>
      <c r="B576" s="337">
        <v>200</v>
      </c>
      <c r="C576" s="337">
        <v>202</v>
      </c>
      <c r="D576" s="152">
        <v>600</v>
      </c>
      <c r="E576" s="152">
        <v>5</v>
      </c>
      <c r="F576" s="152">
        <v>0</v>
      </c>
      <c r="G576" s="363" t="s">
        <v>2287</v>
      </c>
      <c r="H576" s="344" t="s">
        <v>1117</v>
      </c>
      <c r="I576" s="337"/>
      <c r="J576" s="337"/>
      <c r="K576" s="350">
        <v>0</v>
      </c>
      <c r="L576" s="350">
        <v>0</v>
      </c>
    </row>
    <row r="577" spans="1:12">
      <c r="A577" s="153">
        <v>320</v>
      </c>
      <c r="B577" s="337">
        <v>200</v>
      </c>
      <c r="C577" s="337">
        <v>202</v>
      </c>
      <c r="D577" s="152">
        <v>600</v>
      </c>
      <c r="E577" s="152">
        <v>10</v>
      </c>
      <c r="F577" s="152">
        <v>0</v>
      </c>
      <c r="G577" s="363" t="s">
        <v>2288</v>
      </c>
      <c r="H577" s="344" t="s">
        <v>1118</v>
      </c>
      <c r="I577" s="337"/>
      <c r="J577" s="337"/>
      <c r="K577" s="350">
        <v>0</v>
      </c>
      <c r="L577" s="350">
        <v>0</v>
      </c>
    </row>
    <row r="578" spans="1:12">
      <c r="A578" s="153">
        <v>320</v>
      </c>
      <c r="B578" s="337">
        <v>200</v>
      </c>
      <c r="C578" s="337">
        <v>202</v>
      </c>
      <c r="D578" s="152">
        <v>600</v>
      </c>
      <c r="E578" s="152">
        <v>15</v>
      </c>
      <c r="F578" s="152">
        <v>0</v>
      </c>
      <c r="G578" s="363" t="s">
        <v>2289</v>
      </c>
      <c r="H578" s="344" t="s">
        <v>1147</v>
      </c>
      <c r="I578" s="337"/>
      <c r="J578" s="337"/>
      <c r="K578" s="350">
        <v>392.78</v>
      </c>
      <c r="L578" s="350">
        <v>0</v>
      </c>
    </row>
    <row r="579" spans="1:12">
      <c r="A579" s="153">
        <v>320</v>
      </c>
      <c r="B579" s="337">
        <v>200</v>
      </c>
      <c r="C579" s="337">
        <v>202</v>
      </c>
      <c r="D579" s="152">
        <v>700</v>
      </c>
      <c r="E579" s="152">
        <v>0</v>
      </c>
      <c r="F579" s="152">
        <v>0</v>
      </c>
      <c r="G579" s="363" t="s">
        <v>2290</v>
      </c>
      <c r="H579" s="344" t="s">
        <v>1136</v>
      </c>
      <c r="I579" s="337"/>
      <c r="J579" s="337"/>
      <c r="K579" s="350">
        <v>160559.57999999999</v>
      </c>
      <c r="L579" s="350">
        <v>0</v>
      </c>
    </row>
    <row r="580" spans="1:12">
      <c r="A580" s="153">
        <v>320</v>
      </c>
      <c r="B580" s="337">
        <v>200</v>
      </c>
      <c r="C580" s="152">
        <v>300</v>
      </c>
      <c r="D580" s="152">
        <v>0</v>
      </c>
      <c r="E580" s="152">
        <v>0</v>
      </c>
      <c r="F580" s="152">
        <v>0</v>
      </c>
      <c r="G580" s="344" t="s">
        <v>2845</v>
      </c>
      <c r="H580" s="344" t="s">
        <v>1150</v>
      </c>
      <c r="I580" s="337" t="s">
        <v>1151</v>
      </c>
      <c r="J580" s="337"/>
      <c r="K580" s="350">
        <v>0</v>
      </c>
      <c r="L580" s="350">
        <v>0</v>
      </c>
    </row>
    <row r="581" spans="1:12">
      <c r="A581" s="150">
        <v>325</v>
      </c>
      <c r="B581" s="57">
        <v>0</v>
      </c>
      <c r="C581" s="57">
        <v>0</v>
      </c>
      <c r="D581" s="57">
        <v>0</v>
      </c>
      <c r="E581" s="57">
        <v>0</v>
      </c>
      <c r="F581" s="57">
        <v>0</v>
      </c>
      <c r="G581" s="355">
        <v>325</v>
      </c>
      <c r="H581" s="355" t="s">
        <v>1152</v>
      </c>
      <c r="I581" s="57" t="s">
        <v>1153</v>
      </c>
      <c r="J581" s="57"/>
      <c r="K581" s="351">
        <v>0</v>
      </c>
      <c r="L581" s="351">
        <v>0</v>
      </c>
    </row>
    <row r="582" spans="1:12">
      <c r="A582" s="153">
        <v>325</v>
      </c>
      <c r="B582" s="337">
        <v>100</v>
      </c>
      <c r="C582" s="337">
        <v>0</v>
      </c>
      <c r="D582" s="337">
        <v>0</v>
      </c>
      <c r="E582" s="337">
        <v>0</v>
      </c>
      <c r="F582" s="337">
        <v>0</v>
      </c>
      <c r="G582" s="345" t="s">
        <v>2846</v>
      </c>
      <c r="H582" s="345" t="s">
        <v>1154</v>
      </c>
      <c r="I582" s="337" t="s">
        <v>1155</v>
      </c>
      <c r="J582" s="336"/>
      <c r="K582" s="351">
        <v>0</v>
      </c>
      <c r="L582" s="351">
        <v>0</v>
      </c>
    </row>
    <row r="583" spans="1:12" ht="25.5">
      <c r="A583" s="153">
        <v>325</v>
      </c>
      <c r="B583" s="337">
        <v>100</v>
      </c>
      <c r="C583" s="337">
        <v>100</v>
      </c>
      <c r="D583" s="337">
        <v>0</v>
      </c>
      <c r="E583" s="337">
        <v>0</v>
      </c>
      <c r="F583" s="337">
        <v>0</v>
      </c>
      <c r="G583" s="345" t="s">
        <v>2847</v>
      </c>
      <c r="H583" s="345" t="s">
        <v>1156</v>
      </c>
      <c r="I583" s="337" t="s">
        <v>1157</v>
      </c>
      <c r="J583" s="336"/>
      <c r="K583" s="351">
        <v>0</v>
      </c>
      <c r="L583" s="351">
        <v>0</v>
      </c>
    </row>
    <row r="584" spans="1:12">
      <c r="A584" s="153">
        <v>325</v>
      </c>
      <c r="B584" s="337">
        <v>100</v>
      </c>
      <c r="C584" s="337">
        <v>100</v>
      </c>
      <c r="D584" s="152">
        <v>100</v>
      </c>
      <c r="E584" s="152">
        <v>0</v>
      </c>
      <c r="F584" s="152">
        <v>0</v>
      </c>
      <c r="G584" s="363" t="s">
        <v>2848</v>
      </c>
      <c r="H584" s="344" t="s">
        <v>1108</v>
      </c>
      <c r="I584" s="337"/>
      <c r="J584" s="337"/>
      <c r="K584" s="350">
        <v>63287.47</v>
      </c>
      <c r="L584" s="350">
        <v>66565.679999999993</v>
      </c>
    </row>
    <row r="585" spans="1:12">
      <c r="A585" s="153">
        <v>325</v>
      </c>
      <c r="B585" s="337">
        <v>100</v>
      </c>
      <c r="C585" s="337">
        <v>100</v>
      </c>
      <c r="D585" s="152">
        <v>200</v>
      </c>
      <c r="E585" s="152">
        <v>0</v>
      </c>
      <c r="F585" s="152">
        <v>0</v>
      </c>
      <c r="G585" s="363" t="s">
        <v>2849</v>
      </c>
      <c r="H585" s="344" t="s">
        <v>1109</v>
      </c>
      <c r="I585" s="337"/>
      <c r="J585" s="337"/>
      <c r="K585" s="350">
        <v>30626.38</v>
      </c>
      <c r="L585" s="350">
        <v>33666.080000000002</v>
      </c>
    </row>
    <row r="586" spans="1:12">
      <c r="A586" s="153">
        <v>325</v>
      </c>
      <c r="B586" s="337">
        <v>100</v>
      </c>
      <c r="C586" s="337">
        <v>100</v>
      </c>
      <c r="D586" s="152">
        <v>300</v>
      </c>
      <c r="E586" s="152">
        <v>0</v>
      </c>
      <c r="F586" s="152">
        <v>0</v>
      </c>
      <c r="G586" s="363" t="s">
        <v>2850</v>
      </c>
      <c r="H586" s="344" t="s">
        <v>1132</v>
      </c>
      <c r="I586" s="337"/>
      <c r="J586" s="337"/>
      <c r="K586" s="350">
        <v>7935.53</v>
      </c>
      <c r="L586" s="350">
        <v>5156.12</v>
      </c>
    </row>
    <row r="587" spans="1:12">
      <c r="A587" s="153">
        <v>325</v>
      </c>
      <c r="B587" s="337">
        <v>100</v>
      </c>
      <c r="C587" s="337">
        <v>100</v>
      </c>
      <c r="D587" s="152">
        <v>400</v>
      </c>
      <c r="E587" s="152">
        <v>0</v>
      </c>
      <c r="F587" s="152">
        <v>0</v>
      </c>
      <c r="G587" s="363" t="s">
        <v>2851</v>
      </c>
      <c r="H587" s="344" t="s">
        <v>1133</v>
      </c>
      <c r="I587" s="337"/>
      <c r="J587" s="337"/>
      <c r="K587" s="350">
        <v>419.88</v>
      </c>
      <c r="L587" s="350">
        <v>263.98</v>
      </c>
    </row>
    <row r="588" spans="1:12">
      <c r="A588" s="153">
        <v>325</v>
      </c>
      <c r="B588" s="337">
        <v>100</v>
      </c>
      <c r="C588" s="337">
        <v>100</v>
      </c>
      <c r="D588" s="337">
        <v>500</v>
      </c>
      <c r="E588" s="337">
        <v>0</v>
      </c>
      <c r="F588" s="337">
        <v>0</v>
      </c>
      <c r="G588" s="364" t="s">
        <v>2852</v>
      </c>
      <c r="H588" s="345" t="s">
        <v>1116</v>
      </c>
      <c r="I588" s="337"/>
      <c r="J588" s="336"/>
      <c r="K588" s="351">
        <v>0</v>
      </c>
      <c r="L588" s="351">
        <v>0</v>
      </c>
    </row>
    <row r="589" spans="1:12">
      <c r="A589" s="153">
        <v>325</v>
      </c>
      <c r="B589" s="337">
        <v>100</v>
      </c>
      <c r="C589" s="337">
        <v>100</v>
      </c>
      <c r="D589" s="337">
        <v>500</v>
      </c>
      <c r="E589" s="152">
        <v>5</v>
      </c>
      <c r="F589" s="152">
        <v>0</v>
      </c>
      <c r="G589" s="363" t="s">
        <v>2853</v>
      </c>
      <c r="H589" s="344" t="s">
        <v>1117</v>
      </c>
      <c r="I589" s="337"/>
      <c r="J589" s="337"/>
      <c r="K589" s="350">
        <v>0</v>
      </c>
      <c r="L589" s="350">
        <v>0</v>
      </c>
    </row>
    <row r="590" spans="1:12">
      <c r="A590" s="153">
        <v>325</v>
      </c>
      <c r="B590" s="337">
        <v>100</v>
      </c>
      <c r="C590" s="337">
        <v>100</v>
      </c>
      <c r="D590" s="337">
        <v>500</v>
      </c>
      <c r="E590" s="152">
        <v>10</v>
      </c>
      <c r="F590" s="152">
        <v>0</v>
      </c>
      <c r="G590" s="363" t="s">
        <v>2854</v>
      </c>
      <c r="H590" s="344" t="s">
        <v>1118</v>
      </c>
      <c r="I590" s="337"/>
      <c r="J590" s="337"/>
      <c r="K590" s="350">
        <v>0</v>
      </c>
      <c r="L590" s="350">
        <v>0</v>
      </c>
    </row>
    <row r="591" spans="1:12" ht="25.5">
      <c r="A591" s="153">
        <v>325</v>
      </c>
      <c r="B591" s="337">
        <v>100</v>
      </c>
      <c r="C591" s="337">
        <v>100</v>
      </c>
      <c r="D591" s="337">
        <v>500</v>
      </c>
      <c r="E591" s="152">
        <v>15</v>
      </c>
      <c r="F591" s="152">
        <v>0</v>
      </c>
      <c r="G591" s="363" t="s">
        <v>2855</v>
      </c>
      <c r="H591" s="344" t="s">
        <v>1158</v>
      </c>
      <c r="I591" s="337"/>
      <c r="J591" s="337"/>
      <c r="K591" s="350">
        <v>8372.7999999999993</v>
      </c>
      <c r="L591" s="350">
        <v>1828.24</v>
      </c>
    </row>
    <row r="592" spans="1:12">
      <c r="A592" s="153">
        <v>325</v>
      </c>
      <c r="B592" s="337">
        <v>100</v>
      </c>
      <c r="C592" s="337">
        <v>100</v>
      </c>
      <c r="D592" s="152">
        <v>900</v>
      </c>
      <c r="E592" s="152">
        <v>0</v>
      </c>
      <c r="F592" s="152">
        <v>0</v>
      </c>
      <c r="G592" s="363" t="s">
        <v>2856</v>
      </c>
      <c r="H592" s="344" t="s">
        <v>1136</v>
      </c>
      <c r="I592" s="337"/>
      <c r="J592" s="337"/>
      <c r="K592" s="350">
        <v>31785.93</v>
      </c>
      <c r="L592" s="350">
        <v>31233.45</v>
      </c>
    </row>
    <row r="593" spans="1:12" ht="25.5">
      <c r="A593" s="153">
        <v>325</v>
      </c>
      <c r="B593" s="337">
        <v>100</v>
      </c>
      <c r="C593" s="337">
        <v>200</v>
      </c>
      <c r="D593" s="337">
        <v>0</v>
      </c>
      <c r="E593" s="337">
        <v>0</v>
      </c>
      <c r="F593" s="337">
        <v>0</v>
      </c>
      <c r="G593" s="345" t="s">
        <v>2857</v>
      </c>
      <c r="H593" s="345" t="s">
        <v>1159</v>
      </c>
      <c r="I593" s="337" t="s">
        <v>1160</v>
      </c>
      <c r="J593" s="336"/>
      <c r="K593" s="351">
        <v>0</v>
      </c>
      <c r="L593" s="351">
        <v>0</v>
      </c>
    </row>
    <row r="594" spans="1:12">
      <c r="A594" s="153">
        <v>325</v>
      </c>
      <c r="B594" s="337">
        <v>100</v>
      </c>
      <c r="C594" s="337">
        <v>200</v>
      </c>
      <c r="D594" s="152">
        <v>100</v>
      </c>
      <c r="E594" s="152">
        <v>0</v>
      </c>
      <c r="F594" s="152">
        <v>0</v>
      </c>
      <c r="G594" s="363" t="s">
        <v>2858</v>
      </c>
      <c r="H594" s="344" t="s">
        <v>1108</v>
      </c>
      <c r="I594" s="337"/>
      <c r="J594" s="337"/>
      <c r="K594" s="350">
        <v>20579.68</v>
      </c>
      <c r="L594" s="350">
        <v>0</v>
      </c>
    </row>
    <row r="595" spans="1:12">
      <c r="A595" s="153">
        <v>325</v>
      </c>
      <c r="B595" s="337">
        <v>100</v>
      </c>
      <c r="C595" s="337">
        <v>200</v>
      </c>
      <c r="D595" s="152">
        <v>200</v>
      </c>
      <c r="E595" s="152">
        <v>0</v>
      </c>
      <c r="F595" s="152">
        <v>0</v>
      </c>
      <c r="G595" s="363" t="s">
        <v>2859</v>
      </c>
      <c r="H595" s="344" t="s">
        <v>1109</v>
      </c>
      <c r="I595" s="337"/>
      <c r="J595" s="337"/>
      <c r="K595" s="350">
        <v>2241.11</v>
      </c>
      <c r="L595" s="350">
        <v>0</v>
      </c>
    </row>
    <row r="596" spans="1:12">
      <c r="A596" s="153">
        <v>325</v>
      </c>
      <c r="B596" s="337">
        <v>100</v>
      </c>
      <c r="C596" s="337">
        <v>200</v>
      </c>
      <c r="D596" s="152">
        <v>300</v>
      </c>
      <c r="E596" s="152">
        <v>0</v>
      </c>
      <c r="F596" s="152">
        <v>0</v>
      </c>
      <c r="G596" s="363" t="s">
        <v>2860</v>
      </c>
      <c r="H596" s="344" t="s">
        <v>1132</v>
      </c>
      <c r="I596" s="337"/>
      <c r="J596" s="337"/>
      <c r="K596" s="350">
        <v>2580.6799999999998</v>
      </c>
      <c r="L596" s="350">
        <v>0</v>
      </c>
    </row>
    <row r="597" spans="1:12">
      <c r="A597" s="153">
        <v>325</v>
      </c>
      <c r="B597" s="337">
        <v>100</v>
      </c>
      <c r="C597" s="337">
        <v>200</v>
      </c>
      <c r="D597" s="152">
        <v>400</v>
      </c>
      <c r="E597" s="152">
        <v>0</v>
      </c>
      <c r="F597" s="152">
        <v>0</v>
      </c>
      <c r="G597" s="363" t="s">
        <v>2861</v>
      </c>
      <c r="H597" s="344" t="s">
        <v>1133</v>
      </c>
      <c r="I597" s="337"/>
      <c r="J597" s="337"/>
      <c r="K597" s="350">
        <v>136.55000000000001</v>
      </c>
      <c r="L597" s="350">
        <v>0</v>
      </c>
    </row>
    <row r="598" spans="1:12">
      <c r="A598" s="153">
        <v>325</v>
      </c>
      <c r="B598" s="337">
        <v>100</v>
      </c>
      <c r="C598" s="337">
        <v>200</v>
      </c>
      <c r="D598" s="337">
        <v>500</v>
      </c>
      <c r="E598" s="337">
        <v>0</v>
      </c>
      <c r="F598" s="337">
        <v>0</v>
      </c>
      <c r="G598" s="364" t="s">
        <v>2862</v>
      </c>
      <c r="H598" s="345" t="s">
        <v>1116</v>
      </c>
      <c r="I598" s="337"/>
      <c r="J598" s="336"/>
      <c r="K598" s="351">
        <v>0</v>
      </c>
      <c r="L598" s="351">
        <v>0</v>
      </c>
    </row>
    <row r="599" spans="1:12">
      <c r="A599" s="153">
        <v>325</v>
      </c>
      <c r="B599" s="337">
        <v>100</v>
      </c>
      <c r="C599" s="337">
        <v>200</v>
      </c>
      <c r="D599" s="337">
        <v>500</v>
      </c>
      <c r="E599" s="152">
        <v>5</v>
      </c>
      <c r="F599" s="152">
        <v>0</v>
      </c>
      <c r="G599" s="363" t="s">
        <v>2863</v>
      </c>
      <c r="H599" s="344" t="s">
        <v>1117</v>
      </c>
      <c r="I599" s="337"/>
      <c r="J599" s="337"/>
      <c r="K599" s="350">
        <v>0</v>
      </c>
      <c r="L599" s="350">
        <v>0</v>
      </c>
    </row>
    <row r="600" spans="1:12">
      <c r="A600" s="153">
        <v>325</v>
      </c>
      <c r="B600" s="337">
        <v>100</v>
      </c>
      <c r="C600" s="337">
        <v>200</v>
      </c>
      <c r="D600" s="337">
        <v>500</v>
      </c>
      <c r="E600" s="152">
        <v>10</v>
      </c>
      <c r="F600" s="152">
        <v>0</v>
      </c>
      <c r="G600" s="363" t="s">
        <v>2864</v>
      </c>
      <c r="H600" s="344" t="s">
        <v>1118</v>
      </c>
      <c r="I600" s="337"/>
      <c r="J600" s="337"/>
      <c r="K600" s="350">
        <v>0</v>
      </c>
      <c r="L600" s="350">
        <v>0</v>
      </c>
    </row>
    <row r="601" spans="1:12" ht="25.5">
      <c r="A601" s="153">
        <v>325</v>
      </c>
      <c r="B601" s="337">
        <v>100</v>
      </c>
      <c r="C601" s="337">
        <v>200</v>
      </c>
      <c r="D601" s="337">
        <v>500</v>
      </c>
      <c r="E601" s="152">
        <v>15</v>
      </c>
      <c r="F601" s="152">
        <v>0</v>
      </c>
      <c r="G601" s="363" t="s">
        <v>2865</v>
      </c>
      <c r="H601" s="344" t="s">
        <v>1158</v>
      </c>
      <c r="I601" s="337"/>
      <c r="J601" s="337"/>
      <c r="K601" s="350">
        <v>567.35</v>
      </c>
      <c r="L601" s="350">
        <v>0</v>
      </c>
    </row>
    <row r="602" spans="1:12">
      <c r="A602" s="153">
        <v>325</v>
      </c>
      <c r="B602" s="337">
        <v>100</v>
      </c>
      <c r="C602" s="337">
        <v>200</v>
      </c>
      <c r="D602" s="152">
        <v>900</v>
      </c>
      <c r="E602" s="152">
        <v>0</v>
      </c>
      <c r="F602" s="152">
        <v>0</v>
      </c>
      <c r="G602" s="363" t="s">
        <v>2866</v>
      </c>
      <c r="H602" s="344" t="s">
        <v>1136</v>
      </c>
      <c r="I602" s="337"/>
      <c r="J602" s="337"/>
      <c r="K602" s="350">
        <v>7749.91</v>
      </c>
      <c r="L602" s="350">
        <v>0</v>
      </c>
    </row>
    <row r="603" spans="1:12">
      <c r="A603" s="153">
        <v>325</v>
      </c>
      <c r="B603" s="337">
        <v>100</v>
      </c>
      <c r="C603" s="152">
        <v>300</v>
      </c>
      <c r="D603" s="152">
        <v>0</v>
      </c>
      <c r="E603" s="152">
        <v>0</v>
      </c>
      <c r="F603" s="152">
        <v>0</v>
      </c>
      <c r="G603" s="345" t="s">
        <v>2867</v>
      </c>
      <c r="H603" s="345" t="s">
        <v>1161</v>
      </c>
      <c r="I603" s="337" t="s">
        <v>1162</v>
      </c>
      <c r="J603" s="337"/>
      <c r="K603" s="350">
        <v>0</v>
      </c>
      <c r="L603" s="350">
        <v>0</v>
      </c>
    </row>
    <row r="604" spans="1:12">
      <c r="A604" s="153">
        <v>325</v>
      </c>
      <c r="B604" s="337">
        <v>200</v>
      </c>
      <c r="C604" s="337">
        <v>0</v>
      </c>
      <c r="D604" s="337">
        <v>0</v>
      </c>
      <c r="E604" s="337">
        <v>0</v>
      </c>
      <c r="F604" s="337">
        <v>0</v>
      </c>
      <c r="G604" s="345" t="s">
        <v>2868</v>
      </c>
      <c r="H604" s="345" t="s">
        <v>1163</v>
      </c>
      <c r="I604" s="337" t="s">
        <v>1164</v>
      </c>
      <c r="J604" s="336"/>
      <c r="K604" s="351">
        <v>0</v>
      </c>
      <c r="L604" s="351">
        <v>0</v>
      </c>
    </row>
    <row r="605" spans="1:12" ht="25.5">
      <c r="A605" s="153">
        <v>325</v>
      </c>
      <c r="B605" s="337">
        <v>200</v>
      </c>
      <c r="C605" s="337">
        <v>100</v>
      </c>
      <c r="D605" s="337">
        <v>0</v>
      </c>
      <c r="E605" s="337">
        <v>0</v>
      </c>
      <c r="F605" s="337">
        <v>0</v>
      </c>
      <c r="G605" s="345" t="s">
        <v>2869</v>
      </c>
      <c r="H605" s="345" t="s">
        <v>1165</v>
      </c>
      <c r="I605" s="337" t="s">
        <v>1166</v>
      </c>
      <c r="J605" s="336"/>
      <c r="K605" s="351">
        <v>0</v>
      </c>
      <c r="L605" s="351">
        <v>0</v>
      </c>
    </row>
    <row r="606" spans="1:12">
      <c r="A606" s="153">
        <v>325</v>
      </c>
      <c r="B606" s="337">
        <v>200</v>
      </c>
      <c r="C606" s="337">
        <v>100</v>
      </c>
      <c r="D606" s="152">
        <v>100</v>
      </c>
      <c r="E606" s="152">
        <v>0</v>
      </c>
      <c r="F606" s="152">
        <v>0</v>
      </c>
      <c r="G606" s="363" t="s">
        <v>2870</v>
      </c>
      <c r="H606" s="344" t="s">
        <v>1108</v>
      </c>
      <c r="I606" s="337"/>
      <c r="J606" s="337"/>
      <c r="K606" s="350">
        <v>0</v>
      </c>
      <c r="L606" s="350">
        <v>0</v>
      </c>
    </row>
    <row r="607" spans="1:12">
      <c r="A607" s="153">
        <v>325</v>
      </c>
      <c r="B607" s="337">
        <v>200</v>
      </c>
      <c r="C607" s="337">
        <v>100</v>
      </c>
      <c r="D607" s="152">
        <v>200</v>
      </c>
      <c r="E607" s="152">
        <v>0</v>
      </c>
      <c r="F607" s="152">
        <v>0</v>
      </c>
      <c r="G607" s="363" t="s">
        <v>2871</v>
      </c>
      <c r="H607" s="344" t="s">
        <v>1144</v>
      </c>
      <c r="I607" s="337"/>
      <c r="J607" s="337"/>
      <c r="K607" s="350">
        <v>0</v>
      </c>
      <c r="L607" s="350">
        <v>0</v>
      </c>
    </row>
    <row r="608" spans="1:12">
      <c r="A608" s="153">
        <v>325</v>
      </c>
      <c r="B608" s="337">
        <v>200</v>
      </c>
      <c r="C608" s="337">
        <v>100</v>
      </c>
      <c r="D608" s="152">
        <v>300</v>
      </c>
      <c r="E608" s="152">
        <v>0</v>
      </c>
      <c r="F608" s="152">
        <v>0</v>
      </c>
      <c r="G608" s="363" t="s">
        <v>2872</v>
      </c>
      <c r="H608" s="344" t="s">
        <v>1145</v>
      </c>
      <c r="I608" s="337"/>
      <c r="J608" s="337"/>
      <c r="K608" s="350">
        <v>0</v>
      </c>
      <c r="L608" s="350">
        <v>0</v>
      </c>
    </row>
    <row r="609" spans="1:12">
      <c r="A609" s="153">
        <v>325</v>
      </c>
      <c r="B609" s="337">
        <v>200</v>
      </c>
      <c r="C609" s="337">
        <v>100</v>
      </c>
      <c r="D609" s="152">
        <v>301</v>
      </c>
      <c r="E609" s="152">
        <v>0</v>
      </c>
      <c r="F609" s="152">
        <v>0</v>
      </c>
      <c r="G609" s="363" t="s">
        <v>2291</v>
      </c>
      <c r="H609" s="344" t="s">
        <v>2256</v>
      </c>
      <c r="I609" s="337"/>
      <c r="J609" s="337"/>
      <c r="K609" s="350">
        <v>0</v>
      </c>
      <c r="L609" s="350">
        <v>0</v>
      </c>
    </row>
    <row r="610" spans="1:12">
      <c r="A610" s="153">
        <v>325</v>
      </c>
      <c r="B610" s="337">
        <v>200</v>
      </c>
      <c r="C610" s="337">
        <v>100</v>
      </c>
      <c r="D610" s="152">
        <v>302</v>
      </c>
      <c r="E610" s="152">
        <v>0</v>
      </c>
      <c r="F610" s="152">
        <v>0</v>
      </c>
      <c r="G610" s="363" t="s">
        <v>2292</v>
      </c>
      <c r="H610" s="344" t="s">
        <v>2258</v>
      </c>
      <c r="I610" s="337"/>
      <c r="J610" s="337"/>
      <c r="K610" s="350">
        <v>0</v>
      </c>
      <c r="L610" s="350">
        <v>0</v>
      </c>
    </row>
    <row r="611" spans="1:12">
      <c r="A611" s="153">
        <v>325</v>
      </c>
      <c r="B611" s="337">
        <v>200</v>
      </c>
      <c r="C611" s="337">
        <v>100</v>
      </c>
      <c r="D611" s="152">
        <v>400</v>
      </c>
      <c r="E611" s="152">
        <v>0</v>
      </c>
      <c r="F611" s="152">
        <v>0</v>
      </c>
      <c r="G611" s="363" t="s">
        <v>2873</v>
      </c>
      <c r="H611" s="344" t="s">
        <v>1146</v>
      </c>
      <c r="I611" s="337"/>
      <c r="J611" s="337"/>
      <c r="K611" s="350">
        <v>0</v>
      </c>
      <c r="L611" s="350">
        <v>0</v>
      </c>
    </row>
    <row r="612" spans="1:12">
      <c r="A612" s="153">
        <v>325</v>
      </c>
      <c r="B612" s="337">
        <v>200</v>
      </c>
      <c r="C612" s="337">
        <v>100</v>
      </c>
      <c r="D612" s="152">
        <v>500</v>
      </c>
      <c r="E612" s="152">
        <v>0</v>
      </c>
      <c r="F612" s="152">
        <v>0</v>
      </c>
      <c r="G612" s="363" t="s">
        <v>2874</v>
      </c>
      <c r="H612" s="344" t="s">
        <v>1133</v>
      </c>
      <c r="I612" s="337"/>
      <c r="J612" s="337"/>
      <c r="K612" s="350">
        <v>0</v>
      </c>
      <c r="L612" s="350">
        <v>0</v>
      </c>
    </row>
    <row r="613" spans="1:12">
      <c r="A613" s="153">
        <v>325</v>
      </c>
      <c r="B613" s="337">
        <v>200</v>
      </c>
      <c r="C613" s="337">
        <v>100</v>
      </c>
      <c r="D613" s="337">
        <v>600</v>
      </c>
      <c r="E613" s="337">
        <v>0</v>
      </c>
      <c r="F613" s="337">
        <v>0</v>
      </c>
      <c r="G613" s="364" t="s">
        <v>2875</v>
      </c>
      <c r="H613" s="345" t="s">
        <v>1116</v>
      </c>
      <c r="I613" s="337"/>
      <c r="J613" s="336"/>
      <c r="K613" s="351">
        <v>0</v>
      </c>
      <c r="L613" s="351">
        <v>0</v>
      </c>
    </row>
    <row r="614" spans="1:12">
      <c r="A614" s="153">
        <v>325</v>
      </c>
      <c r="B614" s="337">
        <v>200</v>
      </c>
      <c r="C614" s="337">
        <v>100</v>
      </c>
      <c r="D614" s="337">
        <v>600</v>
      </c>
      <c r="E614" s="152">
        <v>5</v>
      </c>
      <c r="F614" s="152">
        <v>0</v>
      </c>
      <c r="G614" s="363" t="s">
        <v>2876</v>
      </c>
      <c r="H614" s="344" t="s">
        <v>1117</v>
      </c>
      <c r="I614" s="337"/>
      <c r="J614" s="337"/>
      <c r="K614" s="350">
        <v>0</v>
      </c>
      <c r="L614" s="350">
        <v>0</v>
      </c>
    </row>
    <row r="615" spans="1:12">
      <c r="A615" s="153">
        <v>325</v>
      </c>
      <c r="B615" s="337">
        <v>200</v>
      </c>
      <c r="C615" s="337">
        <v>100</v>
      </c>
      <c r="D615" s="337">
        <v>600</v>
      </c>
      <c r="E615" s="152">
        <v>10</v>
      </c>
      <c r="F615" s="152">
        <v>0</v>
      </c>
      <c r="G615" s="363" t="s">
        <v>2877</v>
      </c>
      <c r="H615" s="344" t="s">
        <v>1118</v>
      </c>
      <c r="I615" s="337"/>
      <c r="J615" s="337"/>
      <c r="K615" s="350">
        <v>0</v>
      </c>
      <c r="L615" s="350">
        <v>0</v>
      </c>
    </row>
    <row r="616" spans="1:12">
      <c r="A616" s="153">
        <v>325</v>
      </c>
      <c r="B616" s="337">
        <v>200</v>
      </c>
      <c r="C616" s="337">
        <v>100</v>
      </c>
      <c r="D616" s="337">
        <v>600</v>
      </c>
      <c r="E616" s="152">
        <v>15</v>
      </c>
      <c r="F616" s="152">
        <v>0</v>
      </c>
      <c r="G616" s="363" t="s">
        <v>2878</v>
      </c>
      <c r="H616" s="344" t="s">
        <v>1147</v>
      </c>
      <c r="I616" s="337"/>
      <c r="J616" s="337"/>
      <c r="K616" s="350">
        <v>0</v>
      </c>
      <c r="L616" s="350">
        <v>0</v>
      </c>
    </row>
    <row r="617" spans="1:12">
      <c r="A617" s="153">
        <v>325</v>
      </c>
      <c r="B617" s="337">
        <v>200</v>
      </c>
      <c r="C617" s="337">
        <v>100</v>
      </c>
      <c r="D617" s="152">
        <v>900</v>
      </c>
      <c r="E617" s="152">
        <v>0</v>
      </c>
      <c r="F617" s="152">
        <v>0</v>
      </c>
      <c r="G617" s="363" t="s">
        <v>2879</v>
      </c>
      <c r="H617" s="344" t="s">
        <v>1136</v>
      </c>
      <c r="I617" s="337"/>
      <c r="J617" s="337"/>
      <c r="K617" s="350">
        <v>0</v>
      </c>
      <c r="L617" s="350">
        <v>0</v>
      </c>
    </row>
    <row r="618" spans="1:12" ht="25.5">
      <c r="A618" s="153">
        <v>325</v>
      </c>
      <c r="B618" s="337">
        <v>200</v>
      </c>
      <c r="C618" s="337">
        <v>200</v>
      </c>
      <c r="D618" s="337">
        <v>0</v>
      </c>
      <c r="E618" s="337">
        <v>0</v>
      </c>
      <c r="F618" s="337">
        <v>0</v>
      </c>
      <c r="G618" s="345" t="s">
        <v>2880</v>
      </c>
      <c r="H618" s="345" t="s">
        <v>1167</v>
      </c>
      <c r="I618" s="337" t="s">
        <v>1168</v>
      </c>
      <c r="J618" s="336"/>
      <c r="K618" s="351">
        <v>0</v>
      </c>
      <c r="L618" s="351">
        <v>0</v>
      </c>
    </row>
    <row r="619" spans="1:12">
      <c r="A619" s="153">
        <v>325</v>
      </c>
      <c r="B619" s="337">
        <v>200</v>
      </c>
      <c r="C619" s="337">
        <v>200</v>
      </c>
      <c r="D619" s="152">
        <v>100</v>
      </c>
      <c r="E619" s="152">
        <v>0</v>
      </c>
      <c r="F619" s="152">
        <v>0</v>
      </c>
      <c r="G619" s="363" t="s">
        <v>2881</v>
      </c>
      <c r="H619" s="344" t="s">
        <v>1108</v>
      </c>
      <c r="I619" s="337"/>
      <c r="J619" s="337"/>
      <c r="K619" s="350">
        <v>0</v>
      </c>
      <c r="L619" s="350">
        <v>0</v>
      </c>
    </row>
    <row r="620" spans="1:12">
      <c r="A620" s="153">
        <v>325</v>
      </c>
      <c r="B620" s="337">
        <v>200</v>
      </c>
      <c r="C620" s="337">
        <v>200</v>
      </c>
      <c r="D620" s="152">
        <v>200</v>
      </c>
      <c r="E620" s="152">
        <v>0</v>
      </c>
      <c r="F620" s="152">
        <v>0</v>
      </c>
      <c r="G620" s="363" t="s">
        <v>2882</v>
      </c>
      <c r="H620" s="344" t="s">
        <v>1144</v>
      </c>
      <c r="I620" s="337"/>
      <c r="J620" s="337"/>
      <c r="K620" s="350">
        <v>0</v>
      </c>
      <c r="L620" s="350">
        <v>0</v>
      </c>
    </row>
    <row r="621" spans="1:12">
      <c r="A621" s="153">
        <v>325</v>
      </c>
      <c r="B621" s="337">
        <v>200</v>
      </c>
      <c r="C621" s="337">
        <v>200</v>
      </c>
      <c r="D621" s="152">
        <v>300</v>
      </c>
      <c r="E621" s="152">
        <v>0</v>
      </c>
      <c r="F621" s="152">
        <v>0</v>
      </c>
      <c r="G621" s="363" t="s">
        <v>2883</v>
      </c>
      <c r="H621" s="344" t="s">
        <v>1145</v>
      </c>
      <c r="I621" s="337"/>
      <c r="J621" s="337"/>
      <c r="K621" s="350">
        <v>0</v>
      </c>
      <c r="L621" s="350">
        <v>0</v>
      </c>
    </row>
    <row r="622" spans="1:12">
      <c r="A622" s="153">
        <v>325</v>
      </c>
      <c r="B622" s="337">
        <v>200</v>
      </c>
      <c r="C622" s="337">
        <v>200</v>
      </c>
      <c r="D622" s="152">
        <v>301</v>
      </c>
      <c r="E622" s="152">
        <v>0</v>
      </c>
      <c r="F622" s="152">
        <v>0</v>
      </c>
      <c r="G622" s="363" t="s">
        <v>2293</v>
      </c>
      <c r="H622" s="344" t="s">
        <v>2256</v>
      </c>
      <c r="I622" s="337"/>
      <c r="J622" s="337"/>
      <c r="K622" s="350">
        <v>0</v>
      </c>
      <c r="L622" s="350">
        <v>0</v>
      </c>
    </row>
    <row r="623" spans="1:12">
      <c r="A623" s="153">
        <v>325</v>
      </c>
      <c r="B623" s="337">
        <v>200</v>
      </c>
      <c r="C623" s="337">
        <v>200</v>
      </c>
      <c r="D623" s="152">
        <v>302</v>
      </c>
      <c r="E623" s="152">
        <v>0</v>
      </c>
      <c r="F623" s="152">
        <v>0</v>
      </c>
      <c r="G623" s="363" t="s">
        <v>2294</v>
      </c>
      <c r="H623" s="344" t="s">
        <v>2258</v>
      </c>
      <c r="I623" s="337"/>
      <c r="J623" s="337"/>
      <c r="K623" s="350">
        <v>0</v>
      </c>
      <c r="L623" s="350">
        <v>0</v>
      </c>
    </row>
    <row r="624" spans="1:12">
      <c r="A624" s="153">
        <v>325</v>
      </c>
      <c r="B624" s="337">
        <v>200</v>
      </c>
      <c r="C624" s="337">
        <v>200</v>
      </c>
      <c r="D624" s="152">
        <v>400</v>
      </c>
      <c r="E624" s="152">
        <v>0</v>
      </c>
      <c r="F624" s="152">
        <v>0</v>
      </c>
      <c r="G624" s="363" t="s">
        <v>2884</v>
      </c>
      <c r="H624" s="344" t="s">
        <v>1146</v>
      </c>
      <c r="I624" s="337"/>
      <c r="J624" s="337"/>
      <c r="K624" s="350">
        <v>0</v>
      </c>
      <c r="L624" s="350">
        <v>0</v>
      </c>
    </row>
    <row r="625" spans="1:12">
      <c r="A625" s="153">
        <v>325</v>
      </c>
      <c r="B625" s="337">
        <v>200</v>
      </c>
      <c r="C625" s="337">
        <v>200</v>
      </c>
      <c r="D625" s="152">
        <v>500</v>
      </c>
      <c r="E625" s="152">
        <v>0</v>
      </c>
      <c r="F625" s="152">
        <v>0</v>
      </c>
      <c r="G625" s="363" t="s">
        <v>2885</v>
      </c>
      <c r="H625" s="344" t="s">
        <v>1133</v>
      </c>
      <c r="I625" s="337"/>
      <c r="J625" s="337"/>
      <c r="K625" s="350">
        <v>0</v>
      </c>
      <c r="L625" s="350">
        <v>0</v>
      </c>
    </row>
    <row r="626" spans="1:12">
      <c r="A626" s="153">
        <v>325</v>
      </c>
      <c r="B626" s="337">
        <v>200</v>
      </c>
      <c r="C626" s="337">
        <v>200</v>
      </c>
      <c r="D626" s="337">
        <v>600</v>
      </c>
      <c r="E626" s="337">
        <v>0</v>
      </c>
      <c r="F626" s="337">
        <v>0</v>
      </c>
      <c r="G626" s="364" t="s">
        <v>2886</v>
      </c>
      <c r="H626" s="345" t="s">
        <v>1116</v>
      </c>
      <c r="I626" s="337"/>
      <c r="J626" s="336"/>
      <c r="K626" s="351">
        <v>0</v>
      </c>
      <c r="L626" s="351">
        <v>0</v>
      </c>
    </row>
    <row r="627" spans="1:12">
      <c r="A627" s="153">
        <v>325</v>
      </c>
      <c r="B627" s="337">
        <v>200</v>
      </c>
      <c r="C627" s="337">
        <v>200</v>
      </c>
      <c r="D627" s="337">
        <v>600</v>
      </c>
      <c r="E627" s="152">
        <v>5</v>
      </c>
      <c r="F627" s="152">
        <v>0</v>
      </c>
      <c r="G627" s="363" t="s">
        <v>2887</v>
      </c>
      <c r="H627" s="344" t="s">
        <v>1117</v>
      </c>
      <c r="I627" s="337"/>
      <c r="J627" s="337"/>
      <c r="K627" s="350">
        <v>0</v>
      </c>
      <c r="L627" s="350">
        <v>0</v>
      </c>
    </row>
    <row r="628" spans="1:12">
      <c r="A628" s="153">
        <v>325</v>
      </c>
      <c r="B628" s="337">
        <v>200</v>
      </c>
      <c r="C628" s="337">
        <v>200</v>
      </c>
      <c r="D628" s="337">
        <v>600</v>
      </c>
      <c r="E628" s="152">
        <v>10</v>
      </c>
      <c r="F628" s="152">
        <v>0</v>
      </c>
      <c r="G628" s="363" t="s">
        <v>2888</v>
      </c>
      <c r="H628" s="344" t="s">
        <v>1118</v>
      </c>
      <c r="I628" s="337"/>
      <c r="J628" s="337"/>
      <c r="K628" s="350">
        <v>0</v>
      </c>
      <c r="L628" s="350">
        <v>0</v>
      </c>
    </row>
    <row r="629" spans="1:12">
      <c r="A629" s="153">
        <v>325</v>
      </c>
      <c r="B629" s="337">
        <v>200</v>
      </c>
      <c r="C629" s="337">
        <v>200</v>
      </c>
      <c r="D629" s="337">
        <v>600</v>
      </c>
      <c r="E629" s="152">
        <v>15</v>
      </c>
      <c r="F629" s="152">
        <v>0</v>
      </c>
      <c r="G629" s="363" t="s">
        <v>2889</v>
      </c>
      <c r="H629" s="344" t="s">
        <v>1147</v>
      </c>
      <c r="I629" s="337"/>
      <c r="J629" s="337"/>
      <c r="K629" s="350">
        <v>0</v>
      </c>
      <c r="L629" s="350">
        <v>0</v>
      </c>
    </row>
    <row r="630" spans="1:12">
      <c r="A630" s="153">
        <v>325</v>
      </c>
      <c r="B630" s="337">
        <v>200</v>
      </c>
      <c r="C630" s="337">
        <v>200</v>
      </c>
      <c r="D630" s="152">
        <v>900</v>
      </c>
      <c r="E630" s="152">
        <v>0</v>
      </c>
      <c r="F630" s="152">
        <v>0</v>
      </c>
      <c r="G630" s="363" t="s">
        <v>2890</v>
      </c>
      <c r="H630" s="344" t="s">
        <v>1136</v>
      </c>
      <c r="I630" s="337"/>
      <c r="J630" s="337"/>
      <c r="K630" s="350">
        <v>0</v>
      </c>
      <c r="L630" s="350">
        <v>0</v>
      </c>
    </row>
    <row r="631" spans="1:12">
      <c r="A631" s="153">
        <v>325</v>
      </c>
      <c r="B631" s="337">
        <v>200</v>
      </c>
      <c r="C631" s="152">
        <v>300</v>
      </c>
      <c r="D631" s="152">
        <v>0</v>
      </c>
      <c r="E631" s="152">
        <v>0</v>
      </c>
      <c r="F631" s="152">
        <v>0</v>
      </c>
      <c r="G631" s="345" t="s">
        <v>2891</v>
      </c>
      <c r="H631" s="345" t="s">
        <v>1169</v>
      </c>
      <c r="I631" s="337" t="s">
        <v>1170</v>
      </c>
      <c r="J631" s="337"/>
      <c r="K631" s="350">
        <v>0</v>
      </c>
      <c r="L631" s="350">
        <v>0</v>
      </c>
    </row>
    <row r="632" spans="1:12">
      <c r="A632" s="150">
        <v>330</v>
      </c>
      <c r="B632" s="57">
        <v>0</v>
      </c>
      <c r="C632" s="57">
        <v>0</v>
      </c>
      <c r="D632" s="57">
        <v>0</v>
      </c>
      <c r="E632" s="57">
        <v>0</v>
      </c>
      <c r="F632" s="57">
        <v>0</v>
      </c>
      <c r="G632" s="355">
        <v>330</v>
      </c>
      <c r="H632" s="355" t="s">
        <v>1171</v>
      </c>
      <c r="I632" s="57" t="s">
        <v>1172</v>
      </c>
      <c r="J632" s="57"/>
      <c r="K632" s="351">
        <v>0</v>
      </c>
      <c r="L632" s="351">
        <v>0</v>
      </c>
    </row>
    <row r="633" spans="1:12">
      <c r="A633" s="153">
        <v>330</v>
      </c>
      <c r="B633" s="337">
        <v>100</v>
      </c>
      <c r="C633" s="337">
        <v>0</v>
      </c>
      <c r="D633" s="337">
        <v>0</v>
      </c>
      <c r="E633" s="337">
        <v>0</v>
      </c>
      <c r="F633" s="337">
        <v>0</v>
      </c>
      <c r="G633" s="345" t="s">
        <v>2892</v>
      </c>
      <c r="H633" s="345" t="s">
        <v>1173</v>
      </c>
      <c r="I633" s="337" t="s">
        <v>1174</v>
      </c>
      <c r="J633" s="336"/>
      <c r="K633" s="351">
        <v>0</v>
      </c>
      <c r="L633" s="351">
        <v>0</v>
      </c>
    </row>
    <row r="634" spans="1:12" ht="25.5">
      <c r="A634" s="153">
        <v>330</v>
      </c>
      <c r="B634" s="337">
        <v>100</v>
      </c>
      <c r="C634" s="337">
        <v>100</v>
      </c>
      <c r="D634" s="337">
        <v>0</v>
      </c>
      <c r="E634" s="337">
        <v>0</v>
      </c>
      <c r="F634" s="337">
        <v>0</v>
      </c>
      <c r="G634" s="345" t="s">
        <v>2893</v>
      </c>
      <c r="H634" s="345" t="s">
        <v>1175</v>
      </c>
      <c r="I634" s="337" t="s">
        <v>1176</v>
      </c>
      <c r="J634" s="336"/>
      <c r="K634" s="351">
        <v>0</v>
      </c>
      <c r="L634" s="351">
        <v>0</v>
      </c>
    </row>
    <row r="635" spans="1:12">
      <c r="A635" s="153">
        <v>330</v>
      </c>
      <c r="B635" s="337">
        <v>100</v>
      </c>
      <c r="C635" s="337">
        <v>100</v>
      </c>
      <c r="D635" s="152">
        <v>100</v>
      </c>
      <c r="E635" s="152">
        <v>0</v>
      </c>
      <c r="F635" s="152">
        <v>0</v>
      </c>
      <c r="G635" s="363" t="s">
        <v>2894</v>
      </c>
      <c r="H635" s="344" t="s">
        <v>1108</v>
      </c>
      <c r="I635" s="337"/>
      <c r="J635" s="337"/>
      <c r="K635" s="350">
        <v>136370.13</v>
      </c>
      <c r="L635" s="350">
        <v>134233.64000000001</v>
      </c>
    </row>
    <row r="636" spans="1:12">
      <c r="A636" s="153">
        <v>330</v>
      </c>
      <c r="B636" s="337">
        <v>100</v>
      </c>
      <c r="C636" s="337">
        <v>100</v>
      </c>
      <c r="D636" s="152">
        <v>200</v>
      </c>
      <c r="E636" s="152">
        <v>0</v>
      </c>
      <c r="F636" s="152">
        <v>0</v>
      </c>
      <c r="G636" s="363" t="s">
        <v>2895</v>
      </c>
      <c r="H636" s="344" t="s">
        <v>1109</v>
      </c>
      <c r="I636" s="337"/>
      <c r="J636" s="337"/>
      <c r="K636" s="350">
        <v>19586.84</v>
      </c>
      <c r="L636" s="350">
        <v>21081.18</v>
      </c>
    </row>
    <row r="637" spans="1:12">
      <c r="A637" s="153">
        <v>330</v>
      </c>
      <c r="B637" s="337">
        <v>100</v>
      </c>
      <c r="C637" s="337">
        <v>100</v>
      </c>
      <c r="D637" s="152">
        <v>300</v>
      </c>
      <c r="E637" s="152">
        <v>0</v>
      </c>
      <c r="F637" s="152">
        <v>0</v>
      </c>
      <c r="G637" s="363" t="s">
        <v>2896</v>
      </c>
      <c r="H637" s="344" t="s">
        <v>1132</v>
      </c>
      <c r="I637" s="337"/>
      <c r="J637" s="337"/>
      <c r="K637" s="350">
        <v>12026.34</v>
      </c>
      <c r="L637" s="350">
        <v>14579.94</v>
      </c>
    </row>
    <row r="638" spans="1:12">
      <c r="A638" s="153">
        <v>330</v>
      </c>
      <c r="B638" s="337">
        <v>100</v>
      </c>
      <c r="C638" s="337">
        <v>100</v>
      </c>
      <c r="D638" s="152">
        <v>400</v>
      </c>
      <c r="E638" s="152">
        <v>0</v>
      </c>
      <c r="F638" s="152">
        <v>0</v>
      </c>
      <c r="G638" s="363" t="s">
        <v>2897</v>
      </c>
      <c r="H638" s="344" t="s">
        <v>1133</v>
      </c>
      <c r="I638" s="337"/>
      <c r="J638" s="337"/>
      <c r="K638" s="350">
        <v>636.33000000000004</v>
      </c>
      <c r="L638" s="350">
        <v>791.95</v>
      </c>
    </row>
    <row r="639" spans="1:12">
      <c r="A639" s="153">
        <v>330</v>
      </c>
      <c r="B639" s="337">
        <v>100</v>
      </c>
      <c r="C639" s="337">
        <v>100</v>
      </c>
      <c r="D639" s="337">
        <v>500</v>
      </c>
      <c r="E639" s="337">
        <v>0</v>
      </c>
      <c r="F639" s="337">
        <v>0</v>
      </c>
      <c r="G639" s="364" t="s">
        <v>2898</v>
      </c>
      <c r="H639" s="345" t="s">
        <v>1116</v>
      </c>
      <c r="I639" s="337"/>
      <c r="J639" s="336"/>
      <c r="K639" s="351">
        <v>0</v>
      </c>
      <c r="L639" s="351">
        <v>0</v>
      </c>
    </row>
    <row r="640" spans="1:12">
      <c r="A640" s="153">
        <v>330</v>
      </c>
      <c r="B640" s="337">
        <v>100</v>
      </c>
      <c r="C640" s="337">
        <v>100</v>
      </c>
      <c r="D640" s="337">
        <v>500</v>
      </c>
      <c r="E640" s="152">
        <v>5</v>
      </c>
      <c r="F640" s="152">
        <v>0</v>
      </c>
      <c r="G640" s="363" t="s">
        <v>2899</v>
      </c>
      <c r="H640" s="344" t="s">
        <v>1117</v>
      </c>
      <c r="I640" s="337"/>
      <c r="J640" s="337"/>
      <c r="K640" s="350">
        <v>0</v>
      </c>
      <c r="L640" s="350">
        <v>0</v>
      </c>
    </row>
    <row r="641" spans="1:12">
      <c r="A641" s="153">
        <v>330</v>
      </c>
      <c r="B641" s="337">
        <v>100</v>
      </c>
      <c r="C641" s="337">
        <v>100</v>
      </c>
      <c r="D641" s="337">
        <v>500</v>
      </c>
      <c r="E641" s="152">
        <v>10</v>
      </c>
      <c r="F641" s="152">
        <v>0</v>
      </c>
      <c r="G641" s="363" t="s">
        <v>2900</v>
      </c>
      <c r="H641" s="344" t="s">
        <v>1118</v>
      </c>
      <c r="I641" s="337"/>
      <c r="J641" s="337"/>
      <c r="K641" s="350">
        <v>0</v>
      </c>
      <c r="L641" s="350">
        <v>0</v>
      </c>
    </row>
    <row r="642" spans="1:12">
      <c r="A642" s="153">
        <v>330</v>
      </c>
      <c r="B642" s="337">
        <v>100</v>
      </c>
      <c r="C642" s="337">
        <v>100</v>
      </c>
      <c r="D642" s="337">
        <v>500</v>
      </c>
      <c r="E642" s="152">
        <v>15</v>
      </c>
      <c r="F642" s="152">
        <v>0</v>
      </c>
      <c r="G642" s="363" t="s">
        <v>2901</v>
      </c>
      <c r="H642" s="344" t="s">
        <v>1177</v>
      </c>
      <c r="I642" s="337"/>
      <c r="J642" s="337"/>
      <c r="K642" s="350">
        <v>425.81</v>
      </c>
      <c r="L642" s="350">
        <v>0</v>
      </c>
    </row>
    <row r="643" spans="1:12">
      <c r="A643" s="153">
        <v>330</v>
      </c>
      <c r="B643" s="337">
        <v>100</v>
      </c>
      <c r="C643" s="337">
        <v>100</v>
      </c>
      <c r="D643" s="152">
        <v>900</v>
      </c>
      <c r="E643" s="152">
        <v>0</v>
      </c>
      <c r="F643" s="152">
        <v>0</v>
      </c>
      <c r="G643" s="363" t="s">
        <v>2902</v>
      </c>
      <c r="H643" s="344" t="s">
        <v>1136</v>
      </c>
      <c r="I643" s="337"/>
      <c r="J643" s="337"/>
      <c r="K643" s="350">
        <v>49847.82</v>
      </c>
      <c r="L643" s="350">
        <v>49821.8</v>
      </c>
    </row>
    <row r="644" spans="1:12" ht="25.5">
      <c r="A644" s="153">
        <v>330</v>
      </c>
      <c r="B644" s="337">
        <v>100</v>
      </c>
      <c r="C644" s="337">
        <v>200</v>
      </c>
      <c r="D644" s="337">
        <v>0</v>
      </c>
      <c r="E644" s="337">
        <v>0</v>
      </c>
      <c r="F644" s="337">
        <v>0</v>
      </c>
      <c r="G644" s="345" t="s">
        <v>2903</v>
      </c>
      <c r="H644" s="345" t="s">
        <v>1178</v>
      </c>
      <c r="I644" s="337" t="s">
        <v>1179</v>
      </c>
      <c r="J644" s="336"/>
      <c r="K644" s="351">
        <v>0</v>
      </c>
      <c r="L644" s="351">
        <v>0</v>
      </c>
    </row>
    <row r="645" spans="1:12">
      <c r="A645" s="153">
        <v>330</v>
      </c>
      <c r="B645" s="337">
        <v>100</v>
      </c>
      <c r="C645" s="337">
        <v>200</v>
      </c>
      <c r="D645" s="152">
        <v>100</v>
      </c>
      <c r="E645" s="152">
        <v>0</v>
      </c>
      <c r="F645" s="152">
        <v>0</v>
      </c>
      <c r="G645" s="363" t="s">
        <v>2904</v>
      </c>
      <c r="H645" s="344" t="s">
        <v>1108</v>
      </c>
      <c r="I645" s="337"/>
      <c r="J645" s="337"/>
      <c r="K645" s="350">
        <v>22619.42</v>
      </c>
      <c r="L645" s="350">
        <v>0</v>
      </c>
    </row>
    <row r="646" spans="1:12">
      <c r="A646" s="153">
        <v>330</v>
      </c>
      <c r="B646" s="337">
        <v>100</v>
      </c>
      <c r="C646" s="337">
        <v>200</v>
      </c>
      <c r="D646" s="152">
        <v>200</v>
      </c>
      <c r="E646" s="152">
        <v>0</v>
      </c>
      <c r="F646" s="152">
        <v>0</v>
      </c>
      <c r="G646" s="363" t="s">
        <v>2905</v>
      </c>
      <c r="H646" s="344" t="s">
        <v>1109</v>
      </c>
      <c r="I646" s="337"/>
      <c r="J646" s="337"/>
      <c r="K646" s="350">
        <v>2457.79</v>
      </c>
      <c r="L646" s="350">
        <v>0</v>
      </c>
    </row>
    <row r="647" spans="1:12">
      <c r="A647" s="153">
        <v>330</v>
      </c>
      <c r="B647" s="337">
        <v>100</v>
      </c>
      <c r="C647" s="337">
        <v>200</v>
      </c>
      <c r="D647" s="152">
        <v>300</v>
      </c>
      <c r="E647" s="152">
        <v>0</v>
      </c>
      <c r="F647" s="152">
        <v>0</v>
      </c>
      <c r="G647" s="363" t="s">
        <v>2906</v>
      </c>
      <c r="H647" s="344" t="s">
        <v>1132</v>
      </c>
      <c r="I647" s="337"/>
      <c r="J647" s="337"/>
      <c r="K647" s="350">
        <v>2085.11</v>
      </c>
      <c r="L647" s="350">
        <v>0</v>
      </c>
    </row>
    <row r="648" spans="1:12">
      <c r="A648" s="153">
        <v>330</v>
      </c>
      <c r="B648" s="337">
        <v>100</v>
      </c>
      <c r="C648" s="337">
        <v>200</v>
      </c>
      <c r="D648" s="152">
        <v>400</v>
      </c>
      <c r="E648" s="152">
        <v>0</v>
      </c>
      <c r="F648" s="152">
        <v>0</v>
      </c>
      <c r="G648" s="363" t="s">
        <v>2907</v>
      </c>
      <c r="H648" s="344" t="s">
        <v>1133</v>
      </c>
      <c r="I648" s="337"/>
      <c r="J648" s="337"/>
      <c r="K648" s="350">
        <v>235.11</v>
      </c>
      <c r="L648" s="350">
        <v>0</v>
      </c>
    </row>
    <row r="649" spans="1:12">
      <c r="A649" s="153">
        <v>330</v>
      </c>
      <c r="B649" s="337">
        <v>100</v>
      </c>
      <c r="C649" s="337">
        <v>200</v>
      </c>
      <c r="D649" s="337">
        <v>500</v>
      </c>
      <c r="E649" s="337">
        <v>0</v>
      </c>
      <c r="F649" s="337">
        <v>0</v>
      </c>
      <c r="G649" s="364" t="s">
        <v>2908</v>
      </c>
      <c r="H649" s="345" t="s">
        <v>1116</v>
      </c>
      <c r="I649" s="337"/>
      <c r="J649" s="336"/>
      <c r="K649" s="351">
        <v>0</v>
      </c>
      <c r="L649" s="351">
        <v>0</v>
      </c>
    </row>
    <row r="650" spans="1:12">
      <c r="A650" s="153">
        <v>330</v>
      </c>
      <c r="B650" s="337">
        <v>100</v>
      </c>
      <c r="C650" s="337">
        <v>200</v>
      </c>
      <c r="D650" s="337">
        <v>500</v>
      </c>
      <c r="E650" s="152">
        <v>5</v>
      </c>
      <c r="F650" s="152">
        <v>0</v>
      </c>
      <c r="G650" s="363" t="s">
        <v>2909</v>
      </c>
      <c r="H650" s="344" t="s">
        <v>1117</v>
      </c>
      <c r="I650" s="337"/>
      <c r="J650" s="337"/>
      <c r="K650" s="350">
        <v>0</v>
      </c>
      <c r="L650" s="350">
        <v>0</v>
      </c>
    </row>
    <row r="651" spans="1:12">
      <c r="A651" s="153">
        <v>330</v>
      </c>
      <c r="B651" s="337">
        <v>100</v>
      </c>
      <c r="C651" s="337">
        <v>200</v>
      </c>
      <c r="D651" s="337">
        <v>500</v>
      </c>
      <c r="E651" s="152">
        <v>10</v>
      </c>
      <c r="F651" s="152">
        <v>0</v>
      </c>
      <c r="G651" s="363" t="s">
        <v>2910</v>
      </c>
      <c r="H651" s="344" t="s">
        <v>1118</v>
      </c>
      <c r="I651" s="337"/>
      <c r="J651" s="337"/>
      <c r="K651" s="350">
        <v>0</v>
      </c>
      <c r="L651" s="350">
        <v>0</v>
      </c>
    </row>
    <row r="652" spans="1:12">
      <c r="A652" s="153">
        <v>330</v>
      </c>
      <c r="B652" s="337">
        <v>100</v>
      </c>
      <c r="C652" s="337">
        <v>200</v>
      </c>
      <c r="D652" s="337">
        <v>500</v>
      </c>
      <c r="E652" s="152">
        <v>15</v>
      </c>
      <c r="F652" s="152">
        <v>0</v>
      </c>
      <c r="G652" s="363" t="s">
        <v>2911</v>
      </c>
      <c r="H652" s="344" t="s">
        <v>1177</v>
      </c>
      <c r="I652" s="337"/>
      <c r="J652" s="337"/>
      <c r="K652" s="350">
        <v>19.2</v>
      </c>
      <c r="L652" s="350">
        <v>0</v>
      </c>
    </row>
    <row r="653" spans="1:12">
      <c r="A653" s="153">
        <v>330</v>
      </c>
      <c r="B653" s="337">
        <v>100</v>
      </c>
      <c r="C653" s="337">
        <v>200</v>
      </c>
      <c r="D653" s="152">
        <v>900</v>
      </c>
      <c r="E653" s="152">
        <v>0</v>
      </c>
      <c r="F653" s="152">
        <v>0</v>
      </c>
      <c r="G653" s="363" t="s">
        <v>2912</v>
      </c>
      <c r="H653" s="344" t="s">
        <v>1136</v>
      </c>
      <c r="I653" s="337"/>
      <c r="J653" s="337"/>
      <c r="K653" s="350">
        <v>8017.57</v>
      </c>
      <c r="L653" s="350">
        <v>0</v>
      </c>
    </row>
    <row r="654" spans="1:12">
      <c r="A654" s="153">
        <v>330</v>
      </c>
      <c r="B654" s="337">
        <v>100</v>
      </c>
      <c r="C654" s="152">
        <v>300</v>
      </c>
      <c r="D654" s="152">
        <v>0</v>
      </c>
      <c r="E654" s="152">
        <v>0</v>
      </c>
      <c r="F654" s="152">
        <v>0</v>
      </c>
      <c r="G654" s="345" t="s">
        <v>2913</v>
      </c>
      <c r="H654" s="345" t="s">
        <v>1180</v>
      </c>
      <c r="I654" s="337" t="s">
        <v>1181</v>
      </c>
      <c r="J654" s="337"/>
      <c r="K654" s="350">
        <v>0</v>
      </c>
      <c r="L654" s="350">
        <v>0</v>
      </c>
    </row>
    <row r="655" spans="1:12">
      <c r="A655" s="153">
        <v>330</v>
      </c>
      <c r="B655" s="337">
        <v>200</v>
      </c>
      <c r="C655" s="337">
        <v>0</v>
      </c>
      <c r="D655" s="337">
        <v>0</v>
      </c>
      <c r="E655" s="337">
        <v>0</v>
      </c>
      <c r="F655" s="337">
        <v>0</v>
      </c>
      <c r="G655" s="345" t="s">
        <v>2914</v>
      </c>
      <c r="H655" s="345" t="s">
        <v>1182</v>
      </c>
      <c r="I655" s="337" t="s">
        <v>1183</v>
      </c>
      <c r="J655" s="336"/>
      <c r="K655" s="351">
        <v>0</v>
      </c>
      <c r="L655" s="351">
        <v>0</v>
      </c>
    </row>
    <row r="656" spans="1:12" ht="25.5">
      <c r="A656" s="153">
        <v>330</v>
      </c>
      <c r="B656" s="337">
        <v>200</v>
      </c>
      <c r="C656" s="337">
        <v>100</v>
      </c>
      <c r="D656" s="337">
        <v>0</v>
      </c>
      <c r="E656" s="337">
        <v>0</v>
      </c>
      <c r="F656" s="337">
        <v>0</v>
      </c>
      <c r="G656" s="345" t="s">
        <v>2915</v>
      </c>
      <c r="H656" s="345" t="s">
        <v>1184</v>
      </c>
      <c r="I656" s="337" t="s">
        <v>1185</v>
      </c>
      <c r="J656" s="336"/>
      <c r="K656" s="351">
        <v>0</v>
      </c>
      <c r="L656" s="351">
        <v>0</v>
      </c>
    </row>
    <row r="657" spans="1:12">
      <c r="A657" s="153">
        <v>330</v>
      </c>
      <c r="B657" s="337">
        <v>200</v>
      </c>
      <c r="C657" s="337">
        <v>100</v>
      </c>
      <c r="D657" s="152">
        <v>100</v>
      </c>
      <c r="E657" s="152">
        <v>0</v>
      </c>
      <c r="F657" s="152">
        <v>0</v>
      </c>
      <c r="G657" s="363" t="s">
        <v>2916</v>
      </c>
      <c r="H657" s="344" t="s">
        <v>1108</v>
      </c>
      <c r="I657" s="337"/>
      <c r="J657" s="337"/>
      <c r="K657" s="350">
        <v>516058.87</v>
      </c>
      <c r="L657" s="350">
        <v>2361546.52</v>
      </c>
    </row>
    <row r="658" spans="1:12">
      <c r="A658" s="153">
        <v>330</v>
      </c>
      <c r="B658" s="337">
        <v>200</v>
      </c>
      <c r="C658" s="337">
        <v>100</v>
      </c>
      <c r="D658" s="152">
        <v>200</v>
      </c>
      <c r="E658" s="152">
        <v>0</v>
      </c>
      <c r="F658" s="152">
        <v>0</v>
      </c>
      <c r="G658" s="363" t="s">
        <v>2917</v>
      </c>
      <c r="H658" s="344" t="s">
        <v>1144</v>
      </c>
      <c r="I658" s="337"/>
      <c r="J658" s="337"/>
      <c r="K658" s="350">
        <v>5409.62</v>
      </c>
      <c r="L658" s="350">
        <v>27391.49</v>
      </c>
    </row>
    <row r="659" spans="1:12">
      <c r="A659" s="153">
        <v>330</v>
      </c>
      <c r="B659" s="337">
        <v>200</v>
      </c>
      <c r="C659" s="337">
        <v>100</v>
      </c>
      <c r="D659" s="152">
        <v>300</v>
      </c>
      <c r="E659" s="152">
        <v>0</v>
      </c>
      <c r="F659" s="152">
        <v>0</v>
      </c>
      <c r="G659" s="363" t="s">
        <v>2918</v>
      </c>
      <c r="H659" s="344" t="s">
        <v>1145</v>
      </c>
      <c r="I659" s="337"/>
      <c r="J659" s="337"/>
      <c r="K659" s="350">
        <v>8861.4</v>
      </c>
      <c r="L659" s="350">
        <v>34203.410000000003</v>
      </c>
    </row>
    <row r="660" spans="1:12">
      <c r="A660" s="153">
        <v>330</v>
      </c>
      <c r="B660" s="337">
        <v>200</v>
      </c>
      <c r="C660" s="337">
        <v>100</v>
      </c>
      <c r="D660" s="152">
        <v>301</v>
      </c>
      <c r="E660" s="152">
        <v>0</v>
      </c>
      <c r="F660" s="152">
        <v>0</v>
      </c>
      <c r="G660" s="363" t="s">
        <v>2295</v>
      </c>
      <c r="H660" s="344" t="s">
        <v>2256</v>
      </c>
      <c r="I660" s="337"/>
      <c r="J660" s="337"/>
      <c r="K660" s="350">
        <v>9546.5499999999993</v>
      </c>
      <c r="L660" s="350">
        <v>0</v>
      </c>
    </row>
    <row r="661" spans="1:12">
      <c r="A661" s="153">
        <v>330</v>
      </c>
      <c r="B661" s="337">
        <v>200</v>
      </c>
      <c r="C661" s="337">
        <v>100</v>
      </c>
      <c r="D661" s="152">
        <v>302</v>
      </c>
      <c r="E661" s="152">
        <v>0</v>
      </c>
      <c r="F661" s="152">
        <v>0</v>
      </c>
      <c r="G661" s="363" t="s">
        <v>2296</v>
      </c>
      <c r="H661" s="344" t="s">
        <v>2258</v>
      </c>
      <c r="I661" s="337"/>
      <c r="J661" s="337"/>
      <c r="K661" s="350">
        <v>59429.97</v>
      </c>
      <c r="L661" s="350">
        <v>0</v>
      </c>
    </row>
    <row r="662" spans="1:12">
      <c r="A662" s="153">
        <v>330</v>
      </c>
      <c r="B662" s="337">
        <v>200</v>
      </c>
      <c r="C662" s="337">
        <v>100</v>
      </c>
      <c r="D662" s="152">
        <v>400</v>
      </c>
      <c r="E662" s="152">
        <v>0</v>
      </c>
      <c r="F662" s="152">
        <v>0</v>
      </c>
      <c r="G662" s="363" t="s">
        <v>2919</v>
      </c>
      <c r="H662" s="344" t="s">
        <v>1146</v>
      </c>
      <c r="I662" s="337"/>
      <c r="J662" s="337"/>
      <c r="K662" s="350">
        <v>38875.040000000001</v>
      </c>
      <c r="L662" s="350">
        <v>307339.55</v>
      </c>
    </row>
    <row r="663" spans="1:12">
      <c r="A663" s="153">
        <v>330</v>
      </c>
      <c r="B663" s="337">
        <v>200</v>
      </c>
      <c r="C663" s="337">
        <v>100</v>
      </c>
      <c r="D663" s="152">
        <v>500</v>
      </c>
      <c r="E663" s="152">
        <v>0</v>
      </c>
      <c r="F663" s="152">
        <v>0</v>
      </c>
      <c r="G663" s="363" t="s">
        <v>2920</v>
      </c>
      <c r="H663" s="344" t="s">
        <v>1133</v>
      </c>
      <c r="I663" s="337"/>
      <c r="J663" s="337"/>
      <c r="K663" s="350">
        <v>7168.26</v>
      </c>
      <c r="L663" s="350">
        <v>162464.56</v>
      </c>
    </row>
    <row r="664" spans="1:12">
      <c r="A664" s="153">
        <v>330</v>
      </c>
      <c r="B664" s="337">
        <v>200</v>
      </c>
      <c r="C664" s="337">
        <v>100</v>
      </c>
      <c r="D664" s="337">
        <v>600</v>
      </c>
      <c r="E664" s="337">
        <v>0</v>
      </c>
      <c r="F664" s="337">
        <v>0</v>
      </c>
      <c r="G664" s="364" t="s">
        <v>2921</v>
      </c>
      <c r="H664" s="345" t="s">
        <v>1116</v>
      </c>
      <c r="I664" s="337"/>
      <c r="J664" s="336"/>
      <c r="K664" s="351">
        <v>0</v>
      </c>
      <c r="L664" s="351">
        <v>0</v>
      </c>
    </row>
    <row r="665" spans="1:12">
      <c r="A665" s="153">
        <v>330</v>
      </c>
      <c r="B665" s="337">
        <v>200</v>
      </c>
      <c r="C665" s="337">
        <v>100</v>
      </c>
      <c r="D665" s="337">
        <v>600</v>
      </c>
      <c r="E665" s="152">
        <v>5</v>
      </c>
      <c r="F665" s="152">
        <v>0</v>
      </c>
      <c r="G665" s="363" t="s">
        <v>2922</v>
      </c>
      <c r="H665" s="344" t="s">
        <v>1117</v>
      </c>
      <c r="I665" s="337"/>
      <c r="J665" s="337"/>
      <c r="K665" s="350">
        <v>0</v>
      </c>
      <c r="L665" s="350">
        <v>0</v>
      </c>
    </row>
    <row r="666" spans="1:12">
      <c r="A666" s="153">
        <v>330</v>
      </c>
      <c r="B666" s="337">
        <v>200</v>
      </c>
      <c r="C666" s="337">
        <v>100</v>
      </c>
      <c r="D666" s="337">
        <v>600</v>
      </c>
      <c r="E666" s="152">
        <v>10</v>
      </c>
      <c r="F666" s="152">
        <v>0</v>
      </c>
      <c r="G666" s="363" t="s">
        <v>2923</v>
      </c>
      <c r="H666" s="344" t="s">
        <v>1118</v>
      </c>
      <c r="I666" s="337"/>
      <c r="J666" s="337"/>
      <c r="K666" s="350">
        <v>0</v>
      </c>
      <c r="L666" s="350">
        <v>0</v>
      </c>
    </row>
    <row r="667" spans="1:12">
      <c r="A667" s="153">
        <v>330</v>
      </c>
      <c r="B667" s="337">
        <v>200</v>
      </c>
      <c r="C667" s="337">
        <v>100</v>
      </c>
      <c r="D667" s="337">
        <v>600</v>
      </c>
      <c r="E667" s="152">
        <v>15</v>
      </c>
      <c r="F667" s="152">
        <v>0</v>
      </c>
      <c r="G667" s="363" t="s">
        <v>2924</v>
      </c>
      <c r="H667" s="344" t="s">
        <v>1147</v>
      </c>
      <c r="I667" s="337"/>
      <c r="J667" s="337"/>
      <c r="K667" s="350">
        <v>32.4</v>
      </c>
      <c r="L667" s="350">
        <v>330</v>
      </c>
    </row>
    <row r="668" spans="1:12">
      <c r="A668" s="153">
        <v>330</v>
      </c>
      <c r="B668" s="337">
        <v>200</v>
      </c>
      <c r="C668" s="337">
        <v>100</v>
      </c>
      <c r="D668" s="152">
        <v>900</v>
      </c>
      <c r="E668" s="152">
        <v>0</v>
      </c>
      <c r="F668" s="152">
        <v>0</v>
      </c>
      <c r="G668" s="363" t="s">
        <v>2925</v>
      </c>
      <c r="H668" s="344" t="s">
        <v>1136</v>
      </c>
      <c r="I668" s="337"/>
      <c r="J668" s="337"/>
      <c r="K668" s="350">
        <v>185536.48</v>
      </c>
      <c r="L668" s="350">
        <v>869318.81</v>
      </c>
    </row>
    <row r="669" spans="1:12" ht="25.5">
      <c r="A669" s="153">
        <v>330</v>
      </c>
      <c r="B669" s="337">
        <v>200</v>
      </c>
      <c r="C669" s="337">
        <v>101</v>
      </c>
      <c r="D669" s="152">
        <v>0</v>
      </c>
      <c r="E669" s="152">
        <v>0</v>
      </c>
      <c r="F669" s="152">
        <v>0</v>
      </c>
      <c r="G669" s="363" t="s">
        <v>2297</v>
      </c>
      <c r="H669" s="344" t="s">
        <v>2298</v>
      </c>
      <c r="I669" s="337" t="s">
        <v>1185</v>
      </c>
      <c r="J669" s="336"/>
      <c r="K669" s="351">
        <v>0</v>
      </c>
      <c r="L669" s="351">
        <v>0</v>
      </c>
    </row>
    <row r="670" spans="1:12">
      <c r="A670" s="153">
        <v>330</v>
      </c>
      <c r="B670" s="337">
        <v>200</v>
      </c>
      <c r="C670" s="337">
        <v>101</v>
      </c>
      <c r="D670" s="152">
        <v>100</v>
      </c>
      <c r="E670" s="152">
        <v>0</v>
      </c>
      <c r="F670" s="152">
        <v>0</v>
      </c>
      <c r="G670" s="363" t="s">
        <v>2299</v>
      </c>
      <c r="H670" s="344" t="s">
        <v>1108</v>
      </c>
      <c r="I670" s="337"/>
      <c r="J670" s="336"/>
      <c r="K670" s="352">
        <v>1854789.89</v>
      </c>
      <c r="L670" s="352">
        <v>0</v>
      </c>
    </row>
    <row r="671" spans="1:12">
      <c r="A671" s="153">
        <v>330</v>
      </c>
      <c r="B671" s="337">
        <v>200</v>
      </c>
      <c r="C671" s="337">
        <v>101</v>
      </c>
      <c r="D671" s="152">
        <v>200</v>
      </c>
      <c r="E671" s="152">
        <v>0</v>
      </c>
      <c r="F671" s="152">
        <v>0</v>
      </c>
      <c r="G671" s="363" t="s">
        <v>2300</v>
      </c>
      <c r="H671" s="344" t="s">
        <v>1144</v>
      </c>
      <c r="I671" s="337"/>
      <c r="J671" s="336"/>
      <c r="K671" s="352">
        <v>24139.18</v>
      </c>
      <c r="L671" s="352">
        <v>0</v>
      </c>
    </row>
    <row r="672" spans="1:12">
      <c r="A672" s="153">
        <v>330</v>
      </c>
      <c r="B672" s="337">
        <v>200</v>
      </c>
      <c r="C672" s="337">
        <v>101</v>
      </c>
      <c r="D672" s="152">
        <v>300</v>
      </c>
      <c r="E672" s="152">
        <v>0</v>
      </c>
      <c r="F672" s="152">
        <v>0</v>
      </c>
      <c r="G672" s="363" t="s">
        <v>2301</v>
      </c>
      <c r="H672" s="344" t="s">
        <v>1145</v>
      </c>
      <c r="I672" s="337"/>
      <c r="J672" s="336"/>
      <c r="K672" s="352">
        <v>13576.53</v>
      </c>
      <c r="L672" s="352">
        <v>0</v>
      </c>
    </row>
    <row r="673" spans="1:12">
      <c r="A673" s="153">
        <v>330</v>
      </c>
      <c r="B673" s="337">
        <v>200</v>
      </c>
      <c r="C673" s="337">
        <v>101</v>
      </c>
      <c r="D673" s="152">
        <v>301</v>
      </c>
      <c r="E673" s="152">
        <v>0</v>
      </c>
      <c r="F673" s="152">
        <v>0</v>
      </c>
      <c r="G673" s="363" t="s">
        <v>2302</v>
      </c>
      <c r="H673" s="344" t="s">
        <v>2256</v>
      </c>
      <c r="I673" s="337"/>
      <c r="J673" s="336"/>
      <c r="K673" s="352">
        <v>998.03</v>
      </c>
      <c r="L673" s="352">
        <v>0</v>
      </c>
    </row>
    <row r="674" spans="1:12">
      <c r="A674" s="153">
        <v>330</v>
      </c>
      <c r="B674" s="337">
        <v>200</v>
      </c>
      <c r="C674" s="337">
        <v>101</v>
      </c>
      <c r="D674" s="152">
        <v>302</v>
      </c>
      <c r="E674" s="152">
        <v>0</v>
      </c>
      <c r="F674" s="152">
        <v>0</v>
      </c>
      <c r="G674" s="363" t="s">
        <v>2303</v>
      </c>
      <c r="H674" s="344" t="s">
        <v>2258</v>
      </c>
      <c r="I674" s="337"/>
      <c r="J674" s="336"/>
      <c r="K674" s="352">
        <v>137586.81</v>
      </c>
      <c r="L674" s="352">
        <v>0</v>
      </c>
    </row>
    <row r="675" spans="1:12">
      <c r="A675" s="153">
        <v>330</v>
      </c>
      <c r="B675" s="337">
        <v>200</v>
      </c>
      <c r="C675" s="337">
        <v>101</v>
      </c>
      <c r="D675" s="152">
        <v>400</v>
      </c>
      <c r="E675" s="152">
        <v>0</v>
      </c>
      <c r="F675" s="152">
        <v>0</v>
      </c>
      <c r="G675" s="363" t="s">
        <v>2304</v>
      </c>
      <c r="H675" s="344" t="s">
        <v>1146</v>
      </c>
      <c r="I675" s="337"/>
      <c r="J675" s="336"/>
      <c r="K675" s="352">
        <v>160934.47</v>
      </c>
      <c r="L675" s="352">
        <v>0</v>
      </c>
    </row>
    <row r="676" spans="1:12">
      <c r="A676" s="153">
        <v>330</v>
      </c>
      <c r="B676" s="337">
        <v>200</v>
      </c>
      <c r="C676" s="337">
        <v>101</v>
      </c>
      <c r="D676" s="152">
        <v>500</v>
      </c>
      <c r="E676" s="152">
        <v>0</v>
      </c>
      <c r="F676" s="152">
        <v>0</v>
      </c>
      <c r="G676" s="363" t="s">
        <v>2305</v>
      </c>
      <c r="H676" s="344" t="s">
        <v>1133</v>
      </c>
      <c r="I676" s="337"/>
      <c r="J676" s="336"/>
      <c r="K676" s="352">
        <v>194423.71</v>
      </c>
      <c r="L676" s="352">
        <v>0</v>
      </c>
    </row>
    <row r="677" spans="1:12">
      <c r="A677" s="153">
        <v>330</v>
      </c>
      <c r="B677" s="337">
        <v>200</v>
      </c>
      <c r="C677" s="337">
        <v>101</v>
      </c>
      <c r="D677" s="152">
        <v>600</v>
      </c>
      <c r="E677" s="152">
        <v>0</v>
      </c>
      <c r="F677" s="152">
        <v>0</v>
      </c>
      <c r="G677" s="363" t="s">
        <v>2306</v>
      </c>
      <c r="H677" s="344" t="s">
        <v>1116</v>
      </c>
      <c r="I677" s="337"/>
      <c r="J677" s="336"/>
      <c r="K677" s="352">
        <v>0</v>
      </c>
      <c r="L677" s="352">
        <v>0</v>
      </c>
    </row>
    <row r="678" spans="1:12">
      <c r="A678" s="153">
        <v>330</v>
      </c>
      <c r="B678" s="337">
        <v>200</v>
      </c>
      <c r="C678" s="337">
        <v>101</v>
      </c>
      <c r="D678" s="152">
        <v>600</v>
      </c>
      <c r="E678" s="152">
        <v>5</v>
      </c>
      <c r="F678" s="152">
        <v>0</v>
      </c>
      <c r="G678" s="363" t="s">
        <v>2307</v>
      </c>
      <c r="H678" s="344" t="s">
        <v>1117</v>
      </c>
      <c r="I678" s="337"/>
      <c r="J678" s="336"/>
      <c r="K678" s="352">
        <v>0</v>
      </c>
      <c r="L678" s="352">
        <v>0</v>
      </c>
    </row>
    <row r="679" spans="1:12">
      <c r="A679" s="153">
        <v>330</v>
      </c>
      <c r="B679" s="337">
        <v>200</v>
      </c>
      <c r="C679" s="337">
        <v>101</v>
      </c>
      <c r="D679" s="152">
        <v>600</v>
      </c>
      <c r="E679" s="152">
        <v>10</v>
      </c>
      <c r="F679" s="152">
        <v>0</v>
      </c>
      <c r="G679" s="363" t="s">
        <v>2308</v>
      </c>
      <c r="H679" s="344" t="s">
        <v>1118</v>
      </c>
      <c r="I679" s="337"/>
      <c r="J679" s="336"/>
      <c r="K679" s="352">
        <v>0</v>
      </c>
      <c r="L679" s="352">
        <v>0</v>
      </c>
    </row>
    <row r="680" spans="1:12">
      <c r="A680" s="153">
        <v>330</v>
      </c>
      <c r="B680" s="337">
        <v>200</v>
      </c>
      <c r="C680" s="337">
        <v>101</v>
      </c>
      <c r="D680" s="152">
        <v>600</v>
      </c>
      <c r="E680" s="152">
        <v>15</v>
      </c>
      <c r="F680" s="152">
        <v>0</v>
      </c>
      <c r="G680" s="363" t="s">
        <v>2309</v>
      </c>
      <c r="H680" s="344" t="s">
        <v>1147</v>
      </c>
      <c r="I680" s="337"/>
      <c r="J680" s="336"/>
      <c r="K680" s="352">
        <v>3313.67</v>
      </c>
      <c r="L680" s="352">
        <v>0</v>
      </c>
    </row>
    <row r="681" spans="1:12">
      <c r="A681" s="153">
        <v>330</v>
      </c>
      <c r="B681" s="337">
        <v>200</v>
      </c>
      <c r="C681" s="337">
        <v>101</v>
      </c>
      <c r="D681" s="152">
        <v>900</v>
      </c>
      <c r="E681" s="152">
        <v>0</v>
      </c>
      <c r="F681" s="152">
        <v>0</v>
      </c>
      <c r="G681" s="363" t="s">
        <v>2310</v>
      </c>
      <c r="H681" s="344" t="s">
        <v>1136</v>
      </c>
      <c r="I681" s="337"/>
      <c r="J681" s="336"/>
      <c r="K681" s="352">
        <v>705082.01</v>
      </c>
      <c r="L681" s="352">
        <v>0</v>
      </c>
    </row>
    <row r="682" spans="1:12" ht="25.5">
      <c r="A682" s="153">
        <v>330</v>
      </c>
      <c r="B682" s="337">
        <v>200</v>
      </c>
      <c r="C682" s="337">
        <v>200</v>
      </c>
      <c r="D682" s="337">
        <v>0</v>
      </c>
      <c r="E682" s="337">
        <v>0</v>
      </c>
      <c r="F682" s="337">
        <v>0</v>
      </c>
      <c r="G682" s="345" t="s">
        <v>2926</v>
      </c>
      <c r="H682" s="345" t="s">
        <v>1186</v>
      </c>
      <c r="I682" s="337" t="s">
        <v>1187</v>
      </c>
      <c r="J682" s="336"/>
      <c r="K682" s="351">
        <v>0</v>
      </c>
      <c r="L682" s="351">
        <v>0</v>
      </c>
    </row>
    <row r="683" spans="1:12">
      <c r="A683" s="153">
        <v>330</v>
      </c>
      <c r="B683" s="337">
        <v>200</v>
      </c>
      <c r="C683" s="337">
        <v>200</v>
      </c>
      <c r="D683" s="152">
        <v>100</v>
      </c>
      <c r="E683" s="152">
        <v>0</v>
      </c>
      <c r="F683" s="152">
        <v>0</v>
      </c>
      <c r="G683" s="363" t="s">
        <v>2927</v>
      </c>
      <c r="H683" s="344" t="s">
        <v>1108</v>
      </c>
      <c r="I683" s="337"/>
      <c r="J683" s="337"/>
      <c r="K683" s="350">
        <v>81973.8</v>
      </c>
      <c r="L683" s="350">
        <v>44290.879999999997</v>
      </c>
    </row>
    <row r="684" spans="1:12">
      <c r="A684" s="153">
        <v>330</v>
      </c>
      <c r="B684" s="337">
        <v>200</v>
      </c>
      <c r="C684" s="337">
        <v>200</v>
      </c>
      <c r="D684" s="152">
        <v>200</v>
      </c>
      <c r="E684" s="152">
        <v>0</v>
      </c>
      <c r="F684" s="152">
        <v>0</v>
      </c>
      <c r="G684" s="363" t="s">
        <v>2928</v>
      </c>
      <c r="H684" s="344" t="s">
        <v>1144</v>
      </c>
      <c r="I684" s="337"/>
      <c r="J684" s="337"/>
      <c r="K684" s="350">
        <v>1031.1400000000001</v>
      </c>
      <c r="L684" s="350">
        <v>114.09</v>
      </c>
    </row>
    <row r="685" spans="1:12">
      <c r="A685" s="153">
        <v>330</v>
      </c>
      <c r="B685" s="337">
        <v>200</v>
      </c>
      <c r="C685" s="337">
        <v>200</v>
      </c>
      <c r="D685" s="152">
        <v>300</v>
      </c>
      <c r="E685" s="152">
        <v>0</v>
      </c>
      <c r="F685" s="152">
        <v>0</v>
      </c>
      <c r="G685" s="363" t="s">
        <v>2929</v>
      </c>
      <c r="H685" s="344" t="s">
        <v>1145</v>
      </c>
      <c r="I685" s="337"/>
      <c r="J685" s="337"/>
      <c r="K685" s="350">
        <v>85.91</v>
      </c>
      <c r="L685" s="350">
        <v>934.33</v>
      </c>
    </row>
    <row r="686" spans="1:12">
      <c r="A686" s="153">
        <v>330</v>
      </c>
      <c r="B686" s="337">
        <v>200</v>
      </c>
      <c r="C686" s="337">
        <v>200</v>
      </c>
      <c r="D686" s="152">
        <v>301</v>
      </c>
      <c r="E686" s="152">
        <v>0</v>
      </c>
      <c r="F686" s="152">
        <v>0</v>
      </c>
      <c r="G686" s="363" t="s">
        <v>2311</v>
      </c>
      <c r="H686" s="344" t="s">
        <v>2256</v>
      </c>
      <c r="I686" s="337"/>
      <c r="J686" s="337"/>
      <c r="K686" s="350">
        <v>3249.87</v>
      </c>
      <c r="L686" s="350">
        <v>0</v>
      </c>
    </row>
    <row r="687" spans="1:12">
      <c r="A687" s="153">
        <v>330</v>
      </c>
      <c r="B687" s="337">
        <v>200</v>
      </c>
      <c r="C687" s="337">
        <v>200</v>
      </c>
      <c r="D687" s="152">
        <v>302</v>
      </c>
      <c r="E687" s="152">
        <v>0</v>
      </c>
      <c r="F687" s="152">
        <v>0</v>
      </c>
      <c r="G687" s="363" t="s">
        <v>2312</v>
      </c>
      <c r="H687" s="344" t="s">
        <v>2258</v>
      </c>
      <c r="I687" s="337"/>
      <c r="J687" s="337"/>
      <c r="K687" s="350">
        <v>1316.06</v>
      </c>
      <c r="L687" s="350">
        <v>0</v>
      </c>
    </row>
    <row r="688" spans="1:12">
      <c r="A688" s="153">
        <v>330</v>
      </c>
      <c r="B688" s="337">
        <v>200</v>
      </c>
      <c r="C688" s="337">
        <v>200</v>
      </c>
      <c r="D688" s="152">
        <v>400</v>
      </c>
      <c r="E688" s="152">
        <v>0</v>
      </c>
      <c r="F688" s="152">
        <v>0</v>
      </c>
      <c r="G688" s="363" t="s">
        <v>2930</v>
      </c>
      <c r="H688" s="344" t="s">
        <v>1146</v>
      </c>
      <c r="I688" s="337"/>
      <c r="J688" s="337"/>
      <c r="K688" s="350">
        <v>3093.45</v>
      </c>
      <c r="L688" s="350">
        <v>5150.34</v>
      </c>
    </row>
    <row r="689" spans="1:12">
      <c r="A689" s="153">
        <v>330</v>
      </c>
      <c r="B689" s="337">
        <v>200</v>
      </c>
      <c r="C689" s="337">
        <v>200</v>
      </c>
      <c r="D689" s="152">
        <v>500</v>
      </c>
      <c r="E689" s="152">
        <v>0</v>
      </c>
      <c r="F689" s="152">
        <v>0</v>
      </c>
      <c r="G689" s="363" t="s">
        <v>2931</v>
      </c>
      <c r="H689" s="344" t="s">
        <v>1133</v>
      </c>
      <c r="I689" s="337"/>
      <c r="J689" s="337"/>
      <c r="K689" s="350">
        <v>0</v>
      </c>
      <c r="L689" s="350">
        <v>4174.22</v>
      </c>
    </row>
    <row r="690" spans="1:12">
      <c r="A690" s="153">
        <v>330</v>
      </c>
      <c r="B690" s="337">
        <v>200</v>
      </c>
      <c r="C690" s="337">
        <v>200</v>
      </c>
      <c r="D690" s="337">
        <v>600</v>
      </c>
      <c r="E690" s="337">
        <v>0</v>
      </c>
      <c r="F690" s="337">
        <v>0</v>
      </c>
      <c r="G690" s="364" t="s">
        <v>2932</v>
      </c>
      <c r="H690" s="345" t="s">
        <v>1116</v>
      </c>
      <c r="I690" s="337"/>
      <c r="J690" s="336"/>
      <c r="K690" s="351">
        <v>0</v>
      </c>
      <c r="L690" s="351">
        <v>0</v>
      </c>
    </row>
    <row r="691" spans="1:12">
      <c r="A691" s="153">
        <v>330</v>
      </c>
      <c r="B691" s="337">
        <v>200</v>
      </c>
      <c r="C691" s="337">
        <v>200</v>
      </c>
      <c r="D691" s="337">
        <v>600</v>
      </c>
      <c r="E691" s="152">
        <v>5</v>
      </c>
      <c r="F691" s="152">
        <v>0</v>
      </c>
      <c r="G691" s="363" t="s">
        <v>2933</v>
      </c>
      <c r="H691" s="344" t="s">
        <v>1117</v>
      </c>
      <c r="I691" s="337"/>
      <c r="J691" s="337"/>
      <c r="K691" s="350">
        <v>0</v>
      </c>
      <c r="L691" s="350">
        <v>0</v>
      </c>
    </row>
    <row r="692" spans="1:12">
      <c r="A692" s="153">
        <v>330</v>
      </c>
      <c r="B692" s="337">
        <v>200</v>
      </c>
      <c r="C692" s="337">
        <v>200</v>
      </c>
      <c r="D692" s="337">
        <v>600</v>
      </c>
      <c r="E692" s="152">
        <v>10</v>
      </c>
      <c r="F692" s="152">
        <v>0</v>
      </c>
      <c r="G692" s="363" t="s">
        <v>2934</v>
      </c>
      <c r="H692" s="344" t="s">
        <v>1118</v>
      </c>
      <c r="I692" s="337"/>
      <c r="J692" s="337"/>
      <c r="K692" s="350">
        <v>0</v>
      </c>
      <c r="L692" s="350">
        <v>0</v>
      </c>
    </row>
    <row r="693" spans="1:12">
      <c r="A693" s="153">
        <v>330</v>
      </c>
      <c r="B693" s="337">
        <v>200</v>
      </c>
      <c r="C693" s="337">
        <v>200</v>
      </c>
      <c r="D693" s="337">
        <v>600</v>
      </c>
      <c r="E693" s="152">
        <v>15</v>
      </c>
      <c r="F693" s="152">
        <v>0</v>
      </c>
      <c r="G693" s="363" t="s">
        <v>2935</v>
      </c>
      <c r="H693" s="344" t="s">
        <v>1147</v>
      </c>
      <c r="I693" s="337"/>
      <c r="J693" s="337"/>
      <c r="K693" s="350">
        <v>0</v>
      </c>
      <c r="L693" s="350">
        <v>0</v>
      </c>
    </row>
    <row r="694" spans="1:12">
      <c r="A694" s="153">
        <v>330</v>
      </c>
      <c r="B694" s="337">
        <v>200</v>
      </c>
      <c r="C694" s="337">
        <v>200</v>
      </c>
      <c r="D694" s="152">
        <v>900</v>
      </c>
      <c r="E694" s="152">
        <v>0</v>
      </c>
      <c r="F694" s="152">
        <v>0</v>
      </c>
      <c r="G694" s="363" t="s">
        <v>2936</v>
      </c>
      <c r="H694" s="344" t="s">
        <v>1136</v>
      </c>
      <c r="I694" s="337"/>
      <c r="J694" s="337"/>
      <c r="K694" s="350">
        <v>28793.73</v>
      </c>
      <c r="L694" s="350">
        <v>18345.23</v>
      </c>
    </row>
    <row r="695" spans="1:12" ht="25.5">
      <c r="A695" s="153">
        <v>330</v>
      </c>
      <c r="B695" s="337">
        <v>200</v>
      </c>
      <c r="C695" s="337">
        <v>201</v>
      </c>
      <c r="D695" s="152">
        <v>0</v>
      </c>
      <c r="E695" s="152">
        <v>0</v>
      </c>
      <c r="F695" s="152">
        <v>0</v>
      </c>
      <c r="G695" s="363" t="s">
        <v>2313</v>
      </c>
      <c r="H695" s="344" t="s">
        <v>2314</v>
      </c>
      <c r="I695" s="337" t="s">
        <v>1187</v>
      </c>
      <c r="J695" s="337"/>
      <c r="K695" s="351">
        <v>0</v>
      </c>
      <c r="L695" s="351">
        <v>0</v>
      </c>
    </row>
    <row r="696" spans="1:12">
      <c r="A696" s="153">
        <v>330</v>
      </c>
      <c r="B696" s="337">
        <v>200</v>
      </c>
      <c r="C696" s="337">
        <v>201</v>
      </c>
      <c r="D696" s="152">
        <v>100</v>
      </c>
      <c r="E696" s="152">
        <v>0</v>
      </c>
      <c r="F696" s="152">
        <v>0</v>
      </c>
      <c r="G696" s="363" t="s">
        <v>2315</v>
      </c>
      <c r="H696" s="344" t="s">
        <v>1108</v>
      </c>
      <c r="I696" s="337"/>
      <c r="J696" s="337"/>
      <c r="K696" s="350">
        <v>0</v>
      </c>
      <c r="L696" s="350">
        <v>0</v>
      </c>
    </row>
    <row r="697" spans="1:12">
      <c r="A697" s="153">
        <v>330</v>
      </c>
      <c r="B697" s="337">
        <v>200</v>
      </c>
      <c r="C697" s="337">
        <v>201</v>
      </c>
      <c r="D697" s="152">
        <v>200</v>
      </c>
      <c r="E697" s="152">
        <v>0</v>
      </c>
      <c r="F697" s="152">
        <v>0</v>
      </c>
      <c r="G697" s="363" t="s">
        <v>2316</v>
      </c>
      <c r="H697" s="344" t="s">
        <v>1144</v>
      </c>
      <c r="I697" s="337"/>
      <c r="J697" s="337"/>
      <c r="K697" s="350">
        <v>0</v>
      </c>
      <c r="L697" s="350">
        <v>0</v>
      </c>
    </row>
    <row r="698" spans="1:12">
      <c r="A698" s="153">
        <v>330</v>
      </c>
      <c r="B698" s="337">
        <v>200</v>
      </c>
      <c r="C698" s="337">
        <v>201</v>
      </c>
      <c r="D698" s="152">
        <v>300</v>
      </c>
      <c r="E698" s="152">
        <v>0</v>
      </c>
      <c r="F698" s="152">
        <v>0</v>
      </c>
      <c r="G698" s="363" t="s">
        <v>2317</v>
      </c>
      <c r="H698" s="344" t="s">
        <v>1145</v>
      </c>
      <c r="I698" s="337"/>
      <c r="J698" s="337"/>
      <c r="K698" s="350">
        <v>0</v>
      </c>
      <c r="L698" s="350">
        <v>0</v>
      </c>
    </row>
    <row r="699" spans="1:12">
      <c r="A699" s="153">
        <v>330</v>
      </c>
      <c r="B699" s="337">
        <v>200</v>
      </c>
      <c r="C699" s="337">
        <v>201</v>
      </c>
      <c r="D699" s="152">
        <v>301</v>
      </c>
      <c r="E699" s="152">
        <v>0</v>
      </c>
      <c r="F699" s="152">
        <v>0</v>
      </c>
      <c r="G699" s="363" t="s">
        <v>2318</v>
      </c>
      <c r="H699" s="344" t="s">
        <v>2256</v>
      </c>
      <c r="I699" s="337"/>
      <c r="J699" s="337"/>
      <c r="K699" s="350">
        <v>0</v>
      </c>
      <c r="L699" s="350">
        <v>0</v>
      </c>
    </row>
    <row r="700" spans="1:12">
      <c r="A700" s="153">
        <v>330</v>
      </c>
      <c r="B700" s="337">
        <v>200</v>
      </c>
      <c r="C700" s="337">
        <v>201</v>
      </c>
      <c r="D700" s="152">
        <v>302</v>
      </c>
      <c r="E700" s="152">
        <v>0</v>
      </c>
      <c r="F700" s="152">
        <v>0</v>
      </c>
      <c r="G700" s="363" t="s">
        <v>2319</v>
      </c>
      <c r="H700" s="344" t="s">
        <v>2258</v>
      </c>
      <c r="I700" s="337"/>
      <c r="J700" s="337"/>
      <c r="K700" s="350">
        <v>0</v>
      </c>
      <c r="L700" s="350">
        <v>0</v>
      </c>
    </row>
    <row r="701" spans="1:12">
      <c r="A701" s="153">
        <v>330</v>
      </c>
      <c r="B701" s="337">
        <v>200</v>
      </c>
      <c r="C701" s="337">
        <v>201</v>
      </c>
      <c r="D701" s="152">
        <v>400</v>
      </c>
      <c r="E701" s="152">
        <v>0</v>
      </c>
      <c r="F701" s="152">
        <v>0</v>
      </c>
      <c r="G701" s="363" t="s">
        <v>2320</v>
      </c>
      <c r="H701" s="344" t="s">
        <v>1146</v>
      </c>
      <c r="I701" s="337"/>
      <c r="J701" s="337"/>
      <c r="K701" s="350">
        <v>0</v>
      </c>
      <c r="L701" s="350">
        <v>0</v>
      </c>
    </row>
    <row r="702" spans="1:12">
      <c r="A702" s="153">
        <v>330</v>
      </c>
      <c r="B702" s="337">
        <v>200</v>
      </c>
      <c r="C702" s="337">
        <v>201</v>
      </c>
      <c r="D702" s="152">
        <v>500</v>
      </c>
      <c r="E702" s="152">
        <v>0</v>
      </c>
      <c r="F702" s="152">
        <v>0</v>
      </c>
      <c r="G702" s="363" t="s">
        <v>2321</v>
      </c>
      <c r="H702" s="344" t="s">
        <v>1133</v>
      </c>
      <c r="I702" s="337"/>
      <c r="J702" s="337"/>
      <c r="K702" s="350">
        <v>0</v>
      </c>
      <c r="L702" s="350">
        <v>0</v>
      </c>
    </row>
    <row r="703" spans="1:12">
      <c r="A703" s="153">
        <v>330</v>
      </c>
      <c r="B703" s="337">
        <v>200</v>
      </c>
      <c r="C703" s="337">
        <v>201</v>
      </c>
      <c r="D703" s="152">
        <v>600</v>
      </c>
      <c r="E703" s="152">
        <v>0</v>
      </c>
      <c r="F703" s="152">
        <v>0</v>
      </c>
      <c r="G703" s="363" t="s">
        <v>2322</v>
      </c>
      <c r="H703" s="344" t="s">
        <v>1116</v>
      </c>
      <c r="I703" s="337"/>
      <c r="J703" s="337"/>
      <c r="K703" s="350">
        <v>0</v>
      </c>
      <c r="L703" s="350">
        <v>0</v>
      </c>
    </row>
    <row r="704" spans="1:12">
      <c r="A704" s="153">
        <v>330</v>
      </c>
      <c r="B704" s="337">
        <v>200</v>
      </c>
      <c r="C704" s="337">
        <v>201</v>
      </c>
      <c r="D704" s="152">
        <v>600</v>
      </c>
      <c r="E704" s="152">
        <v>5</v>
      </c>
      <c r="F704" s="152">
        <v>0</v>
      </c>
      <c r="G704" s="363" t="s">
        <v>2323</v>
      </c>
      <c r="H704" s="344" t="s">
        <v>1117</v>
      </c>
      <c r="I704" s="337"/>
      <c r="J704" s="337"/>
      <c r="K704" s="350">
        <v>0</v>
      </c>
      <c r="L704" s="350">
        <v>0</v>
      </c>
    </row>
    <row r="705" spans="1:12">
      <c r="A705" s="153">
        <v>330</v>
      </c>
      <c r="B705" s="337">
        <v>200</v>
      </c>
      <c r="C705" s="337">
        <v>201</v>
      </c>
      <c r="D705" s="152">
        <v>600</v>
      </c>
      <c r="E705" s="152">
        <v>10</v>
      </c>
      <c r="F705" s="152">
        <v>0</v>
      </c>
      <c r="G705" s="363" t="s">
        <v>2324</v>
      </c>
      <c r="H705" s="344" t="s">
        <v>1118</v>
      </c>
      <c r="I705" s="337"/>
      <c r="J705" s="337"/>
      <c r="K705" s="350">
        <v>0</v>
      </c>
      <c r="L705" s="350">
        <v>0</v>
      </c>
    </row>
    <row r="706" spans="1:12">
      <c r="A706" s="153">
        <v>330</v>
      </c>
      <c r="B706" s="337">
        <v>200</v>
      </c>
      <c r="C706" s="337">
        <v>201</v>
      </c>
      <c r="D706" s="152">
        <v>600</v>
      </c>
      <c r="E706" s="152">
        <v>15</v>
      </c>
      <c r="F706" s="152">
        <v>0</v>
      </c>
      <c r="G706" s="363" t="s">
        <v>2325</v>
      </c>
      <c r="H706" s="344" t="s">
        <v>1147</v>
      </c>
      <c r="I706" s="337"/>
      <c r="J706" s="337"/>
      <c r="K706" s="350">
        <v>0</v>
      </c>
      <c r="L706" s="350">
        <v>0</v>
      </c>
    </row>
    <row r="707" spans="1:12">
      <c r="A707" s="153">
        <v>330</v>
      </c>
      <c r="B707" s="337">
        <v>200</v>
      </c>
      <c r="C707" s="337">
        <v>201</v>
      </c>
      <c r="D707" s="152">
        <v>900</v>
      </c>
      <c r="E707" s="152">
        <v>0</v>
      </c>
      <c r="F707" s="152">
        <v>0</v>
      </c>
      <c r="G707" s="363" t="s">
        <v>2326</v>
      </c>
      <c r="H707" s="344" t="s">
        <v>1136</v>
      </c>
      <c r="I707" s="337"/>
      <c r="J707" s="337"/>
      <c r="K707" s="350">
        <v>0</v>
      </c>
      <c r="L707" s="350">
        <v>0</v>
      </c>
    </row>
    <row r="708" spans="1:12">
      <c r="A708" s="153">
        <v>330</v>
      </c>
      <c r="B708" s="337">
        <v>200</v>
      </c>
      <c r="C708" s="152">
        <v>300</v>
      </c>
      <c r="D708" s="152">
        <v>0</v>
      </c>
      <c r="E708" s="152">
        <v>0</v>
      </c>
      <c r="F708" s="152">
        <v>0</v>
      </c>
      <c r="G708" s="345" t="s">
        <v>2937</v>
      </c>
      <c r="H708" s="345" t="s">
        <v>1188</v>
      </c>
      <c r="I708" s="337" t="s">
        <v>1189</v>
      </c>
      <c r="J708" s="337"/>
      <c r="K708" s="350">
        <v>0</v>
      </c>
      <c r="L708" s="350">
        <v>0</v>
      </c>
    </row>
    <row r="709" spans="1:12">
      <c r="A709" s="150">
        <v>335</v>
      </c>
      <c r="B709" s="57">
        <v>0</v>
      </c>
      <c r="C709" s="57">
        <v>0</v>
      </c>
      <c r="D709" s="57">
        <v>0</v>
      </c>
      <c r="E709" s="57">
        <v>0</v>
      </c>
      <c r="F709" s="57">
        <v>0</v>
      </c>
      <c r="G709" s="355">
        <v>335</v>
      </c>
      <c r="H709" s="355" t="s">
        <v>1190</v>
      </c>
      <c r="I709" s="57" t="s">
        <v>1191</v>
      </c>
      <c r="J709" s="57"/>
      <c r="K709" s="351">
        <v>0</v>
      </c>
      <c r="L709" s="351">
        <v>0</v>
      </c>
    </row>
    <row r="710" spans="1:12">
      <c r="A710" s="153">
        <v>335</v>
      </c>
      <c r="B710" s="337">
        <v>100</v>
      </c>
      <c r="C710" s="337">
        <v>0</v>
      </c>
      <c r="D710" s="337">
        <v>0</v>
      </c>
      <c r="E710" s="337">
        <v>0</v>
      </c>
      <c r="F710" s="337">
        <v>0</v>
      </c>
      <c r="G710" s="345" t="s">
        <v>2938</v>
      </c>
      <c r="H710" s="345" t="s">
        <v>1192</v>
      </c>
      <c r="I710" s="337" t="s">
        <v>1193</v>
      </c>
      <c r="J710" s="336"/>
      <c r="K710" s="351">
        <v>0</v>
      </c>
      <c r="L710" s="351">
        <v>0</v>
      </c>
    </row>
    <row r="711" spans="1:12" ht="25.5">
      <c r="A711" s="153">
        <v>335</v>
      </c>
      <c r="B711" s="337">
        <v>100</v>
      </c>
      <c r="C711" s="337">
        <v>100</v>
      </c>
      <c r="D711" s="337">
        <v>0</v>
      </c>
      <c r="E711" s="337">
        <v>0</v>
      </c>
      <c r="F711" s="337">
        <v>0</v>
      </c>
      <c r="G711" s="345" t="s">
        <v>2939</v>
      </c>
      <c r="H711" s="345" t="s">
        <v>1194</v>
      </c>
      <c r="I711" s="337" t="s">
        <v>1195</v>
      </c>
      <c r="J711" s="336"/>
      <c r="K711" s="351">
        <v>0</v>
      </c>
      <c r="L711" s="351">
        <v>0</v>
      </c>
    </row>
    <row r="712" spans="1:12">
      <c r="A712" s="153">
        <v>335</v>
      </c>
      <c r="B712" s="337">
        <v>100</v>
      </c>
      <c r="C712" s="337">
        <v>100</v>
      </c>
      <c r="D712" s="152">
        <v>100</v>
      </c>
      <c r="E712" s="152">
        <v>0</v>
      </c>
      <c r="F712" s="152">
        <v>0</v>
      </c>
      <c r="G712" s="363" t="s">
        <v>2940</v>
      </c>
      <c r="H712" s="344" t="s">
        <v>1108</v>
      </c>
      <c r="I712" s="337"/>
      <c r="J712" s="337"/>
      <c r="K712" s="350">
        <v>321128.07</v>
      </c>
      <c r="L712" s="350">
        <v>291192.90999999997</v>
      </c>
    </row>
    <row r="713" spans="1:12">
      <c r="A713" s="153">
        <v>335</v>
      </c>
      <c r="B713" s="337">
        <v>100</v>
      </c>
      <c r="C713" s="337">
        <v>100</v>
      </c>
      <c r="D713" s="152">
        <v>200</v>
      </c>
      <c r="E713" s="152">
        <v>0</v>
      </c>
      <c r="F713" s="152">
        <v>0</v>
      </c>
      <c r="G713" s="363" t="s">
        <v>2941</v>
      </c>
      <c r="H713" s="344" t="s">
        <v>1109</v>
      </c>
      <c r="I713" s="337"/>
      <c r="J713" s="337"/>
      <c r="K713" s="350">
        <v>122539.4</v>
      </c>
      <c r="L713" s="350">
        <v>88193.24</v>
      </c>
    </row>
    <row r="714" spans="1:12">
      <c r="A714" s="153">
        <v>335</v>
      </c>
      <c r="B714" s="337">
        <v>100</v>
      </c>
      <c r="C714" s="337">
        <v>100</v>
      </c>
      <c r="D714" s="152">
        <v>300</v>
      </c>
      <c r="E714" s="152">
        <v>0</v>
      </c>
      <c r="F714" s="152">
        <v>0</v>
      </c>
      <c r="G714" s="363" t="s">
        <v>2942</v>
      </c>
      <c r="H714" s="344" t="s">
        <v>1132</v>
      </c>
      <c r="I714" s="337"/>
      <c r="J714" s="337"/>
      <c r="K714" s="350">
        <v>24537.83</v>
      </c>
      <c r="L714" s="350">
        <v>38645.9</v>
      </c>
    </row>
    <row r="715" spans="1:12">
      <c r="A715" s="153">
        <v>335</v>
      </c>
      <c r="B715" s="337">
        <v>100</v>
      </c>
      <c r="C715" s="337">
        <v>100</v>
      </c>
      <c r="D715" s="152">
        <v>400</v>
      </c>
      <c r="E715" s="152">
        <v>0</v>
      </c>
      <c r="F715" s="152">
        <v>0</v>
      </c>
      <c r="G715" s="363" t="s">
        <v>2943</v>
      </c>
      <c r="H715" s="344" t="s">
        <v>1133</v>
      </c>
      <c r="I715" s="337"/>
      <c r="J715" s="337"/>
      <c r="K715" s="350">
        <v>1298.32</v>
      </c>
      <c r="L715" s="350">
        <v>2421.7600000000002</v>
      </c>
    </row>
    <row r="716" spans="1:12">
      <c r="A716" s="153">
        <v>335</v>
      </c>
      <c r="B716" s="337">
        <v>100</v>
      </c>
      <c r="C716" s="337">
        <v>100</v>
      </c>
      <c r="D716" s="337">
        <v>500</v>
      </c>
      <c r="E716" s="337">
        <v>0</v>
      </c>
      <c r="F716" s="337">
        <v>0</v>
      </c>
      <c r="G716" s="364" t="s">
        <v>2944</v>
      </c>
      <c r="H716" s="345" t="s">
        <v>1116</v>
      </c>
      <c r="I716" s="337"/>
      <c r="J716" s="336"/>
      <c r="K716" s="351">
        <v>0</v>
      </c>
      <c r="L716" s="351">
        <v>0</v>
      </c>
    </row>
    <row r="717" spans="1:12">
      <c r="A717" s="153">
        <v>335</v>
      </c>
      <c r="B717" s="337">
        <v>100</v>
      </c>
      <c r="C717" s="337">
        <v>100</v>
      </c>
      <c r="D717" s="337">
        <v>500</v>
      </c>
      <c r="E717" s="152">
        <v>5</v>
      </c>
      <c r="F717" s="152">
        <v>0</v>
      </c>
      <c r="G717" s="363" t="s">
        <v>2945</v>
      </c>
      <c r="H717" s="344" t="s">
        <v>1117</v>
      </c>
      <c r="I717" s="337"/>
      <c r="J717" s="337"/>
      <c r="K717" s="350">
        <v>0</v>
      </c>
      <c r="L717" s="350">
        <v>0</v>
      </c>
    </row>
    <row r="718" spans="1:12">
      <c r="A718" s="153">
        <v>335</v>
      </c>
      <c r="B718" s="337">
        <v>100</v>
      </c>
      <c r="C718" s="337">
        <v>100</v>
      </c>
      <c r="D718" s="337">
        <v>500</v>
      </c>
      <c r="E718" s="152">
        <v>10</v>
      </c>
      <c r="F718" s="152">
        <v>0</v>
      </c>
      <c r="G718" s="363" t="s">
        <v>2946</v>
      </c>
      <c r="H718" s="344" t="s">
        <v>1118</v>
      </c>
      <c r="I718" s="337"/>
      <c r="J718" s="337"/>
      <c r="K718" s="350">
        <v>0</v>
      </c>
      <c r="L718" s="350">
        <v>0</v>
      </c>
    </row>
    <row r="719" spans="1:12" ht="25.5">
      <c r="A719" s="153">
        <v>335</v>
      </c>
      <c r="B719" s="337">
        <v>100</v>
      </c>
      <c r="C719" s="337">
        <v>100</v>
      </c>
      <c r="D719" s="337">
        <v>500</v>
      </c>
      <c r="E719" s="152">
        <v>15</v>
      </c>
      <c r="F719" s="152">
        <v>0</v>
      </c>
      <c r="G719" s="363" t="s">
        <v>2947</v>
      </c>
      <c r="H719" s="344" t="s">
        <v>1196</v>
      </c>
      <c r="I719" s="337"/>
      <c r="J719" s="337"/>
      <c r="K719" s="350">
        <v>0</v>
      </c>
      <c r="L719" s="350">
        <v>31.5</v>
      </c>
    </row>
    <row r="720" spans="1:12">
      <c r="A720" s="153">
        <v>335</v>
      </c>
      <c r="B720" s="337">
        <v>100</v>
      </c>
      <c r="C720" s="337">
        <v>100</v>
      </c>
      <c r="D720" s="152">
        <v>900</v>
      </c>
      <c r="E720" s="152">
        <v>0</v>
      </c>
      <c r="F720" s="152">
        <v>0</v>
      </c>
      <c r="G720" s="363" t="s">
        <v>2948</v>
      </c>
      <c r="H720" s="344" t="s">
        <v>1136</v>
      </c>
      <c r="I720" s="337"/>
      <c r="J720" s="337"/>
      <c r="K720" s="350">
        <v>133722.66</v>
      </c>
      <c r="L720" s="350">
        <v>119728.14</v>
      </c>
    </row>
    <row r="721" spans="1:12" ht="25.5">
      <c r="A721" s="153">
        <v>335</v>
      </c>
      <c r="B721" s="337">
        <v>100</v>
      </c>
      <c r="C721" s="337">
        <v>200</v>
      </c>
      <c r="D721" s="337">
        <v>0</v>
      </c>
      <c r="E721" s="337">
        <v>0</v>
      </c>
      <c r="F721" s="337">
        <v>0</v>
      </c>
      <c r="G721" s="345" t="s">
        <v>2949</v>
      </c>
      <c r="H721" s="345" t="s">
        <v>1197</v>
      </c>
      <c r="I721" s="337" t="s">
        <v>1198</v>
      </c>
      <c r="J721" s="336"/>
      <c r="K721" s="351">
        <v>0</v>
      </c>
      <c r="L721" s="351">
        <v>0</v>
      </c>
    </row>
    <row r="722" spans="1:12">
      <c r="A722" s="153">
        <v>335</v>
      </c>
      <c r="B722" s="337">
        <v>100</v>
      </c>
      <c r="C722" s="337">
        <v>200</v>
      </c>
      <c r="D722" s="152">
        <v>100</v>
      </c>
      <c r="E722" s="152">
        <v>0</v>
      </c>
      <c r="F722" s="152">
        <v>0</v>
      </c>
      <c r="G722" s="363" t="s">
        <v>2950</v>
      </c>
      <c r="H722" s="344" t="s">
        <v>1108</v>
      </c>
      <c r="I722" s="337"/>
      <c r="J722" s="337"/>
      <c r="K722" s="350">
        <v>0</v>
      </c>
      <c r="L722" s="350">
        <v>45739.519999999997</v>
      </c>
    </row>
    <row r="723" spans="1:12">
      <c r="A723" s="153">
        <v>335</v>
      </c>
      <c r="B723" s="337">
        <v>100</v>
      </c>
      <c r="C723" s="337">
        <v>200</v>
      </c>
      <c r="D723" s="152">
        <v>200</v>
      </c>
      <c r="E723" s="152">
        <v>0</v>
      </c>
      <c r="F723" s="152">
        <v>0</v>
      </c>
      <c r="G723" s="363" t="s">
        <v>2951</v>
      </c>
      <c r="H723" s="344" t="s">
        <v>1109</v>
      </c>
      <c r="I723" s="337"/>
      <c r="J723" s="337"/>
      <c r="K723" s="350">
        <v>0</v>
      </c>
      <c r="L723" s="350">
        <v>30218.11</v>
      </c>
    </row>
    <row r="724" spans="1:12">
      <c r="A724" s="153">
        <v>335</v>
      </c>
      <c r="B724" s="337">
        <v>100</v>
      </c>
      <c r="C724" s="337">
        <v>200</v>
      </c>
      <c r="D724" s="152">
        <v>300</v>
      </c>
      <c r="E724" s="152">
        <v>0</v>
      </c>
      <c r="F724" s="152">
        <v>0</v>
      </c>
      <c r="G724" s="363" t="s">
        <v>2952</v>
      </c>
      <c r="H724" s="344" t="s">
        <v>1132</v>
      </c>
      <c r="I724" s="337"/>
      <c r="J724" s="337"/>
      <c r="K724" s="350">
        <v>0</v>
      </c>
      <c r="L724" s="350">
        <v>364.37</v>
      </c>
    </row>
    <row r="725" spans="1:12">
      <c r="A725" s="153">
        <v>335</v>
      </c>
      <c r="B725" s="337">
        <v>100</v>
      </c>
      <c r="C725" s="337">
        <v>200</v>
      </c>
      <c r="D725" s="152">
        <v>400</v>
      </c>
      <c r="E725" s="152">
        <v>0</v>
      </c>
      <c r="F725" s="152">
        <v>0</v>
      </c>
      <c r="G725" s="363" t="s">
        <v>2953</v>
      </c>
      <c r="H725" s="344" t="s">
        <v>1133</v>
      </c>
      <c r="I725" s="337"/>
      <c r="J725" s="337"/>
      <c r="K725" s="350">
        <v>0</v>
      </c>
      <c r="L725" s="350">
        <v>0</v>
      </c>
    </row>
    <row r="726" spans="1:12">
      <c r="A726" s="153">
        <v>335</v>
      </c>
      <c r="B726" s="337">
        <v>100</v>
      </c>
      <c r="C726" s="337">
        <v>200</v>
      </c>
      <c r="D726" s="337">
        <v>500</v>
      </c>
      <c r="E726" s="337">
        <v>0</v>
      </c>
      <c r="F726" s="337">
        <v>0</v>
      </c>
      <c r="G726" s="364" t="s">
        <v>2954</v>
      </c>
      <c r="H726" s="345" t="s">
        <v>1116</v>
      </c>
      <c r="I726" s="337"/>
      <c r="J726" s="336"/>
      <c r="K726" s="351">
        <v>0</v>
      </c>
      <c r="L726" s="351">
        <v>0</v>
      </c>
    </row>
    <row r="727" spans="1:12">
      <c r="A727" s="153">
        <v>335</v>
      </c>
      <c r="B727" s="337">
        <v>100</v>
      </c>
      <c r="C727" s="337">
        <v>200</v>
      </c>
      <c r="D727" s="337">
        <v>500</v>
      </c>
      <c r="E727" s="152">
        <v>5</v>
      </c>
      <c r="F727" s="152">
        <v>0</v>
      </c>
      <c r="G727" s="363" t="s">
        <v>2955</v>
      </c>
      <c r="H727" s="344" t="s">
        <v>1117</v>
      </c>
      <c r="I727" s="337"/>
      <c r="J727" s="337"/>
      <c r="K727" s="350">
        <v>0</v>
      </c>
      <c r="L727" s="350">
        <v>0</v>
      </c>
    </row>
    <row r="728" spans="1:12">
      <c r="A728" s="153">
        <v>335</v>
      </c>
      <c r="B728" s="337">
        <v>100</v>
      </c>
      <c r="C728" s="337">
        <v>200</v>
      </c>
      <c r="D728" s="337">
        <v>500</v>
      </c>
      <c r="E728" s="152">
        <v>10</v>
      </c>
      <c r="F728" s="152">
        <v>0</v>
      </c>
      <c r="G728" s="363" t="s">
        <v>2956</v>
      </c>
      <c r="H728" s="344" t="s">
        <v>1118</v>
      </c>
      <c r="I728" s="337"/>
      <c r="J728" s="337"/>
      <c r="K728" s="350">
        <v>0</v>
      </c>
      <c r="L728" s="350">
        <v>0</v>
      </c>
    </row>
    <row r="729" spans="1:12" ht="25.5">
      <c r="A729" s="153">
        <v>335</v>
      </c>
      <c r="B729" s="337">
        <v>100</v>
      </c>
      <c r="C729" s="337">
        <v>200</v>
      </c>
      <c r="D729" s="337">
        <v>500</v>
      </c>
      <c r="E729" s="152">
        <v>15</v>
      </c>
      <c r="F729" s="152">
        <v>0</v>
      </c>
      <c r="G729" s="363" t="s">
        <v>2957</v>
      </c>
      <c r="H729" s="344" t="s">
        <v>1196</v>
      </c>
      <c r="I729" s="337"/>
      <c r="J729" s="337"/>
      <c r="K729" s="350">
        <v>0</v>
      </c>
      <c r="L729" s="350">
        <v>0</v>
      </c>
    </row>
    <row r="730" spans="1:12">
      <c r="A730" s="153">
        <v>335</v>
      </c>
      <c r="B730" s="337">
        <v>100</v>
      </c>
      <c r="C730" s="337">
        <v>200</v>
      </c>
      <c r="D730" s="152">
        <v>900</v>
      </c>
      <c r="E730" s="152">
        <v>0</v>
      </c>
      <c r="F730" s="152">
        <v>0</v>
      </c>
      <c r="G730" s="363" t="s">
        <v>2958</v>
      </c>
      <c r="H730" s="344" t="s">
        <v>1136</v>
      </c>
      <c r="I730" s="337"/>
      <c r="J730" s="337"/>
      <c r="K730" s="350">
        <v>0</v>
      </c>
      <c r="L730" s="350">
        <v>20485.12</v>
      </c>
    </row>
    <row r="731" spans="1:12">
      <c r="A731" s="153">
        <v>335</v>
      </c>
      <c r="B731" s="337">
        <v>100</v>
      </c>
      <c r="C731" s="152">
        <v>300</v>
      </c>
      <c r="D731" s="152">
        <v>0</v>
      </c>
      <c r="E731" s="152">
        <v>0</v>
      </c>
      <c r="F731" s="152">
        <v>0</v>
      </c>
      <c r="G731" s="345" t="s">
        <v>2959</v>
      </c>
      <c r="H731" s="345" t="s">
        <v>1199</v>
      </c>
      <c r="I731" s="337" t="s">
        <v>1200</v>
      </c>
      <c r="J731" s="337"/>
      <c r="K731" s="350">
        <v>0</v>
      </c>
      <c r="L731" s="350">
        <v>0</v>
      </c>
    </row>
    <row r="732" spans="1:12">
      <c r="A732" s="153">
        <v>335</v>
      </c>
      <c r="B732" s="337">
        <v>200</v>
      </c>
      <c r="C732" s="337">
        <v>0</v>
      </c>
      <c r="D732" s="337">
        <v>0</v>
      </c>
      <c r="E732" s="337">
        <v>0</v>
      </c>
      <c r="F732" s="337">
        <v>0</v>
      </c>
      <c r="G732" s="345" t="s">
        <v>2960</v>
      </c>
      <c r="H732" s="345" t="s">
        <v>1201</v>
      </c>
      <c r="I732" s="337" t="s">
        <v>1202</v>
      </c>
      <c r="J732" s="336"/>
      <c r="K732" s="351">
        <v>0</v>
      </c>
      <c r="L732" s="351">
        <v>0</v>
      </c>
    </row>
    <row r="733" spans="1:12" ht="25.5">
      <c r="A733" s="153">
        <v>335</v>
      </c>
      <c r="B733" s="337">
        <v>200</v>
      </c>
      <c r="C733" s="337">
        <v>100</v>
      </c>
      <c r="D733" s="337">
        <v>0</v>
      </c>
      <c r="E733" s="337">
        <v>0</v>
      </c>
      <c r="F733" s="337">
        <v>0</v>
      </c>
      <c r="G733" s="345" t="s">
        <v>2961</v>
      </c>
      <c r="H733" s="345" t="s">
        <v>1203</v>
      </c>
      <c r="I733" s="337" t="s">
        <v>1204</v>
      </c>
      <c r="J733" s="336"/>
      <c r="K733" s="351">
        <v>0</v>
      </c>
      <c r="L733" s="351">
        <v>0</v>
      </c>
    </row>
    <row r="734" spans="1:12">
      <c r="A734" s="153">
        <v>335</v>
      </c>
      <c r="B734" s="337">
        <v>200</v>
      </c>
      <c r="C734" s="337">
        <v>100</v>
      </c>
      <c r="D734" s="152">
        <v>100</v>
      </c>
      <c r="E734" s="152">
        <v>0</v>
      </c>
      <c r="F734" s="152">
        <v>0</v>
      </c>
      <c r="G734" s="363" t="s">
        <v>2962</v>
      </c>
      <c r="H734" s="344" t="s">
        <v>1108</v>
      </c>
      <c r="I734" s="337"/>
      <c r="J734" s="337"/>
      <c r="K734" s="350">
        <v>1295431.67</v>
      </c>
      <c r="L734" s="350">
        <v>1420279.81</v>
      </c>
    </row>
    <row r="735" spans="1:12">
      <c r="A735" s="153">
        <v>335</v>
      </c>
      <c r="B735" s="337">
        <v>200</v>
      </c>
      <c r="C735" s="337">
        <v>100</v>
      </c>
      <c r="D735" s="152">
        <v>200</v>
      </c>
      <c r="E735" s="152">
        <v>0</v>
      </c>
      <c r="F735" s="152">
        <v>0</v>
      </c>
      <c r="G735" s="363" t="s">
        <v>2963</v>
      </c>
      <c r="H735" s="344" t="s">
        <v>1144</v>
      </c>
      <c r="I735" s="337"/>
      <c r="J735" s="337"/>
      <c r="K735" s="350">
        <v>5095.2299999999996</v>
      </c>
      <c r="L735" s="350">
        <v>14256.6</v>
      </c>
    </row>
    <row r="736" spans="1:12">
      <c r="A736" s="153">
        <v>335</v>
      </c>
      <c r="B736" s="337">
        <v>200</v>
      </c>
      <c r="C736" s="337">
        <v>100</v>
      </c>
      <c r="D736" s="152">
        <v>300</v>
      </c>
      <c r="E736" s="152">
        <v>0</v>
      </c>
      <c r="F736" s="152">
        <v>0</v>
      </c>
      <c r="G736" s="363" t="s">
        <v>2964</v>
      </c>
      <c r="H736" s="344" t="s">
        <v>1145</v>
      </c>
      <c r="I736" s="337"/>
      <c r="J736" s="337"/>
      <c r="K736" s="350">
        <v>29929.56</v>
      </c>
      <c r="L736" s="350">
        <v>87752.7</v>
      </c>
    </row>
    <row r="737" spans="1:12">
      <c r="A737" s="153">
        <v>335</v>
      </c>
      <c r="B737" s="337">
        <v>200</v>
      </c>
      <c r="C737" s="337">
        <v>100</v>
      </c>
      <c r="D737" s="152">
        <v>301</v>
      </c>
      <c r="E737" s="152">
        <v>0</v>
      </c>
      <c r="F737" s="152">
        <v>0</v>
      </c>
      <c r="G737" s="363" t="s">
        <v>2327</v>
      </c>
      <c r="H737" s="344" t="s">
        <v>2256</v>
      </c>
      <c r="I737" s="337"/>
      <c r="J737" s="337"/>
      <c r="K737" s="350">
        <v>68188.72</v>
      </c>
      <c r="L737" s="350">
        <v>0</v>
      </c>
    </row>
    <row r="738" spans="1:12">
      <c r="A738" s="153">
        <v>335</v>
      </c>
      <c r="B738" s="337">
        <v>200</v>
      </c>
      <c r="C738" s="337">
        <v>100</v>
      </c>
      <c r="D738" s="152">
        <v>302</v>
      </c>
      <c r="E738" s="152">
        <v>0</v>
      </c>
      <c r="F738" s="152">
        <v>0</v>
      </c>
      <c r="G738" s="363" t="s">
        <v>2328</v>
      </c>
      <c r="H738" s="344" t="s">
        <v>2258</v>
      </c>
      <c r="I738" s="337"/>
      <c r="J738" s="337"/>
      <c r="K738" s="350">
        <v>117744.7</v>
      </c>
      <c r="L738" s="350">
        <v>0</v>
      </c>
    </row>
    <row r="739" spans="1:12">
      <c r="A739" s="153">
        <v>335</v>
      </c>
      <c r="B739" s="337">
        <v>200</v>
      </c>
      <c r="C739" s="337">
        <v>100</v>
      </c>
      <c r="D739" s="152">
        <v>400</v>
      </c>
      <c r="E739" s="152">
        <v>0</v>
      </c>
      <c r="F739" s="152">
        <v>0</v>
      </c>
      <c r="G739" s="363" t="s">
        <v>2965</v>
      </c>
      <c r="H739" s="344" t="s">
        <v>1146</v>
      </c>
      <c r="I739" s="337"/>
      <c r="J739" s="337"/>
      <c r="K739" s="350">
        <v>76108</v>
      </c>
      <c r="L739" s="350">
        <v>248481.46</v>
      </c>
    </row>
    <row r="740" spans="1:12">
      <c r="A740" s="153">
        <v>335</v>
      </c>
      <c r="B740" s="337">
        <v>200</v>
      </c>
      <c r="C740" s="337">
        <v>100</v>
      </c>
      <c r="D740" s="152">
        <v>500</v>
      </c>
      <c r="E740" s="152">
        <v>0</v>
      </c>
      <c r="F740" s="152">
        <v>0</v>
      </c>
      <c r="G740" s="363" t="s">
        <v>2966</v>
      </c>
      <c r="H740" s="344" t="s">
        <v>1133</v>
      </c>
      <c r="I740" s="337"/>
      <c r="J740" s="337"/>
      <c r="K740" s="350">
        <v>2761.38</v>
      </c>
      <c r="L740" s="350">
        <v>10743.04</v>
      </c>
    </row>
    <row r="741" spans="1:12">
      <c r="A741" s="153">
        <v>335</v>
      </c>
      <c r="B741" s="337">
        <v>200</v>
      </c>
      <c r="C741" s="337">
        <v>100</v>
      </c>
      <c r="D741" s="337">
        <v>600</v>
      </c>
      <c r="E741" s="337">
        <v>0</v>
      </c>
      <c r="F741" s="337">
        <v>0</v>
      </c>
      <c r="G741" s="364" t="s">
        <v>2967</v>
      </c>
      <c r="H741" s="345" t="s">
        <v>1116</v>
      </c>
      <c r="I741" s="337"/>
      <c r="J741" s="336"/>
      <c r="K741" s="351">
        <v>0</v>
      </c>
      <c r="L741" s="351">
        <v>0</v>
      </c>
    </row>
    <row r="742" spans="1:12">
      <c r="A742" s="153">
        <v>335</v>
      </c>
      <c r="B742" s="337">
        <v>200</v>
      </c>
      <c r="C742" s="337">
        <v>100</v>
      </c>
      <c r="D742" s="337">
        <v>600</v>
      </c>
      <c r="E742" s="152">
        <v>5</v>
      </c>
      <c r="F742" s="152">
        <v>0</v>
      </c>
      <c r="G742" s="363" t="s">
        <v>2968</v>
      </c>
      <c r="H742" s="344" t="s">
        <v>1117</v>
      </c>
      <c r="I742" s="337"/>
      <c r="J742" s="337"/>
      <c r="K742" s="350">
        <v>0</v>
      </c>
      <c r="L742" s="350">
        <v>0</v>
      </c>
    </row>
    <row r="743" spans="1:12">
      <c r="A743" s="153">
        <v>335</v>
      </c>
      <c r="B743" s="337">
        <v>200</v>
      </c>
      <c r="C743" s="337">
        <v>100</v>
      </c>
      <c r="D743" s="337">
        <v>600</v>
      </c>
      <c r="E743" s="152">
        <v>10</v>
      </c>
      <c r="F743" s="152">
        <v>0</v>
      </c>
      <c r="G743" s="363" t="s">
        <v>2969</v>
      </c>
      <c r="H743" s="344" t="s">
        <v>1118</v>
      </c>
      <c r="I743" s="337"/>
      <c r="J743" s="337"/>
      <c r="K743" s="350">
        <v>0</v>
      </c>
      <c r="L743" s="350">
        <v>0</v>
      </c>
    </row>
    <row r="744" spans="1:12">
      <c r="A744" s="153">
        <v>335</v>
      </c>
      <c r="B744" s="337">
        <v>200</v>
      </c>
      <c r="C744" s="337">
        <v>100</v>
      </c>
      <c r="D744" s="337">
        <v>600</v>
      </c>
      <c r="E744" s="152">
        <v>15</v>
      </c>
      <c r="F744" s="152">
        <v>0</v>
      </c>
      <c r="G744" s="363" t="s">
        <v>2970</v>
      </c>
      <c r="H744" s="344" t="s">
        <v>1147</v>
      </c>
      <c r="I744" s="337"/>
      <c r="J744" s="337"/>
      <c r="K744" s="350">
        <v>3727.68</v>
      </c>
      <c r="L744" s="350">
        <v>101.8</v>
      </c>
    </row>
    <row r="745" spans="1:12">
      <c r="A745" s="153">
        <v>335</v>
      </c>
      <c r="B745" s="337">
        <v>200</v>
      </c>
      <c r="C745" s="337">
        <v>100</v>
      </c>
      <c r="D745" s="152">
        <v>900</v>
      </c>
      <c r="E745" s="152">
        <v>0</v>
      </c>
      <c r="F745" s="152">
        <v>0</v>
      </c>
      <c r="G745" s="363" t="s">
        <v>2971</v>
      </c>
      <c r="H745" s="344" t="s">
        <v>1136</v>
      </c>
      <c r="I745" s="337"/>
      <c r="J745" s="337"/>
      <c r="K745" s="350">
        <v>469327.86</v>
      </c>
      <c r="L745" s="350">
        <v>505363.5</v>
      </c>
    </row>
    <row r="746" spans="1:12" ht="25.5">
      <c r="A746" s="153">
        <v>335</v>
      </c>
      <c r="B746" s="337">
        <v>200</v>
      </c>
      <c r="C746" s="337">
        <v>200</v>
      </c>
      <c r="D746" s="337">
        <v>0</v>
      </c>
      <c r="E746" s="337">
        <v>0</v>
      </c>
      <c r="F746" s="337">
        <v>0</v>
      </c>
      <c r="G746" s="345" t="s">
        <v>2972</v>
      </c>
      <c r="H746" s="345" t="s">
        <v>1205</v>
      </c>
      <c r="I746" s="337" t="s">
        <v>1206</v>
      </c>
      <c r="J746" s="336"/>
      <c r="K746" s="351">
        <v>0</v>
      </c>
      <c r="L746" s="351">
        <v>0</v>
      </c>
    </row>
    <row r="747" spans="1:12">
      <c r="A747" s="153">
        <v>335</v>
      </c>
      <c r="B747" s="337">
        <v>200</v>
      </c>
      <c r="C747" s="337">
        <v>200</v>
      </c>
      <c r="D747" s="152">
        <v>100</v>
      </c>
      <c r="E747" s="152">
        <v>0</v>
      </c>
      <c r="F747" s="152">
        <v>0</v>
      </c>
      <c r="G747" s="363" t="s">
        <v>2973</v>
      </c>
      <c r="H747" s="344" t="s">
        <v>1108</v>
      </c>
      <c r="I747" s="337"/>
      <c r="J747" s="337"/>
      <c r="K747" s="350">
        <v>458316.43</v>
      </c>
      <c r="L747" s="350">
        <v>47092.15</v>
      </c>
    </row>
    <row r="748" spans="1:12">
      <c r="A748" s="153">
        <v>335</v>
      </c>
      <c r="B748" s="337">
        <v>200</v>
      </c>
      <c r="C748" s="337">
        <v>200</v>
      </c>
      <c r="D748" s="152">
        <v>200</v>
      </c>
      <c r="E748" s="152">
        <v>0</v>
      </c>
      <c r="F748" s="152">
        <v>0</v>
      </c>
      <c r="G748" s="363" t="s">
        <v>2974</v>
      </c>
      <c r="H748" s="344" t="s">
        <v>1144</v>
      </c>
      <c r="I748" s="337"/>
      <c r="J748" s="337"/>
      <c r="K748" s="350">
        <v>2430.08</v>
      </c>
      <c r="L748" s="350">
        <v>584.9</v>
      </c>
    </row>
    <row r="749" spans="1:12">
      <c r="A749" s="153">
        <v>335</v>
      </c>
      <c r="B749" s="337">
        <v>200</v>
      </c>
      <c r="C749" s="337">
        <v>200</v>
      </c>
      <c r="D749" s="152">
        <v>300</v>
      </c>
      <c r="E749" s="152">
        <v>0</v>
      </c>
      <c r="F749" s="152">
        <v>0</v>
      </c>
      <c r="G749" s="363" t="s">
        <v>2975</v>
      </c>
      <c r="H749" s="344" t="s">
        <v>1145</v>
      </c>
      <c r="I749" s="337"/>
      <c r="J749" s="337"/>
      <c r="K749" s="350">
        <v>11566.32</v>
      </c>
      <c r="L749" s="350">
        <v>2331.12</v>
      </c>
    </row>
    <row r="750" spans="1:12">
      <c r="A750" s="153">
        <v>335</v>
      </c>
      <c r="B750" s="337">
        <v>200</v>
      </c>
      <c r="C750" s="337">
        <v>200</v>
      </c>
      <c r="D750" s="152">
        <v>301</v>
      </c>
      <c r="E750" s="152">
        <v>0</v>
      </c>
      <c r="F750" s="152">
        <v>0</v>
      </c>
      <c r="G750" s="363" t="s">
        <v>2329</v>
      </c>
      <c r="H750" s="344" t="s">
        <v>2256</v>
      </c>
      <c r="I750" s="337"/>
      <c r="J750" s="337"/>
      <c r="K750" s="350">
        <v>10351.1</v>
      </c>
      <c r="L750" s="350">
        <v>0</v>
      </c>
    </row>
    <row r="751" spans="1:12">
      <c r="A751" s="153">
        <v>335</v>
      </c>
      <c r="B751" s="337">
        <v>200</v>
      </c>
      <c r="C751" s="337">
        <v>200</v>
      </c>
      <c r="D751" s="152">
        <v>302</v>
      </c>
      <c r="E751" s="152">
        <v>0</v>
      </c>
      <c r="F751" s="152">
        <v>0</v>
      </c>
      <c r="G751" s="363" t="s">
        <v>2330</v>
      </c>
      <c r="H751" s="344" t="s">
        <v>2258</v>
      </c>
      <c r="I751" s="337"/>
      <c r="J751" s="337"/>
      <c r="K751" s="350">
        <v>8469.7000000000007</v>
      </c>
      <c r="L751" s="350">
        <v>0</v>
      </c>
    </row>
    <row r="752" spans="1:12">
      <c r="A752" s="153">
        <v>335</v>
      </c>
      <c r="B752" s="337">
        <v>200</v>
      </c>
      <c r="C752" s="337">
        <v>200</v>
      </c>
      <c r="D752" s="152">
        <v>400</v>
      </c>
      <c r="E752" s="152">
        <v>0</v>
      </c>
      <c r="F752" s="152">
        <v>0</v>
      </c>
      <c r="G752" s="363" t="s">
        <v>2976</v>
      </c>
      <c r="H752" s="344" t="s">
        <v>1146</v>
      </c>
      <c r="I752" s="337"/>
      <c r="J752" s="337"/>
      <c r="K752" s="350">
        <v>17855.43</v>
      </c>
      <c r="L752" s="350">
        <v>6131.45</v>
      </c>
    </row>
    <row r="753" spans="1:12">
      <c r="A753" s="153">
        <v>335</v>
      </c>
      <c r="B753" s="337">
        <v>200</v>
      </c>
      <c r="C753" s="337">
        <v>200</v>
      </c>
      <c r="D753" s="152">
        <v>500</v>
      </c>
      <c r="E753" s="152">
        <v>0</v>
      </c>
      <c r="F753" s="152">
        <v>0</v>
      </c>
      <c r="G753" s="363" t="s">
        <v>2977</v>
      </c>
      <c r="H753" s="344" t="s">
        <v>1133</v>
      </c>
      <c r="I753" s="337"/>
      <c r="J753" s="337"/>
      <c r="K753" s="350">
        <v>1644.06</v>
      </c>
      <c r="L753" s="350">
        <v>831.43</v>
      </c>
    </row>
    <row r="754" spans="1:12">
      <c r="A754" s="153">
        <v>335</v>
      </c>
      <c r="B754" s="337">
        <v>200</v>
      </c>
      <c r="C754" s="337">
        <v>200</v>
      </c>
      <c r="D754" s="337">
        <v>600</v>
      </c>
      <c r="E754" s="337">
        <v>0</v>
      </c>
      <c r="F754" s="337">
        <v>0</v>
      </c>
      <c r="G754" s="364" t="s">
        <v>2978</v>
      </c>
      <c r="H754" s="345" t="s">
        <v>1116</v>
      </c>
      <c r="I754" s="337"/>
      <c r="J754" s="336"/>
      <c r="K754" s="351">
        <v>0</v>
      </c>
      <c r="L754" s="351">
        <v>0</v>
      </c>
    </row>
    <row r="755" spans="1:12">
      <c r="A755" s="153">
        <v>335</v>
      </c>
      <c r="B755" s="337">
        <v>200</v>
      </c>
      <c r="C755" s="337">
        <v>200</v>
      </c>
      <c r="D755" s="337">
        <v>600</v>
      </c>
      <c r="E755" s="152">
        <v>5</v>
      </c>
      <c r="F755" s="152">
        <v>0</v>
      </c>
      <c r="G755" s="363" t="s">
        <v>2979</v>
      </c>
      <c r="H755" s="344" t="s">
        <v>1117</v>
      </c>
      <c r="I755" s="337"/>
      <c r="J755" s="337"/>
      <c r="K755" s="350">
        <v>0</v>
      </c>
      <c r="L755" s="350">
        <v>0</v>
      </c>
    </row>
    <row r="756" spans="1:12">
      <c r="A756" s="153">
        <v>335</v>
      </c>
      <c r="B756" s="337">
        <v>200</v>
      </c>
      <c r="C756" s="337">
        <v>200</v>
      </c>
      <c r="D756" s="337">
        <v>600</v>
      </c>
      <c r="E756" s="152">
        <v>10</v>
      </c>
      <c r="F756" s="152">
        <v>0</v>
      </c>
      <c r="G756" s="363" t="s">
        <v>2980</v>
      </c>
      <c r="H756" s="344" t="s">
        <v>1118</v>
      </c>
      <c r="I756" s="337"/>
      <c r="J756" s="337"/>
      <c r="K756" s="350">
        <v>0</v>
      </c>
      <c r="L756" s="350">
        <v>0</v>
      </c>
    </row>
    <row r="757" spans="1:12">
      <c r="A757" s="153">
        <v>335</v>
      </c>
      <c r="B757" s="337">
        <v>200</v>
      </c>
      <c r="C757" s="337">
        <v>200</v>
      </c>
      <c r="D757" s="337">
        <v>600</v>
      </c>
      <c r="E757" s="152">
        <v>15</v>
      </c>
      <c r="F757" s="152">
        <v>0</v>
      </c>
      <c r="G757" s="363" t="s">
        <v>2981</v>
      </c>
      <c r="H757" s="344" t="s">
        <v>1147</v>
      </c>
      <c r="I757" s="337"/>
      <c r="J757" s="337"/>
      <c r="K757" s="350">
        <v>0</v>
      </c>
      <c r="L757" s="350">
        <v>0</v>
      </c>
    </row>
    <row r="758" spans="1:12">
      <c r="A758" s="153">
        <v>335</v>
      </c>
      <c r="B758" s="337">
        <v>200</v>
      </c>
      <c r="C758" s="337">
        <v>200</v>
      </c>
      <c r="D758" s="152">
        <v>900</v>
      </c>
      <c r="E758" s="152">
        <v>0</v>
      </c>
      <c r="F758" s="152">
        <v>0</v>
      </c>
      <c r="G758" s="363" t="s">
        <v>2982</v>
      </c>
      <c r="H758" s="344" t="s">
        <v>1136</v>
      </c>
      <c r="I758" s="337"/>
      <c r="J758" s="337"/>
      <c r="K758" s="350">
        <v>157867.16</v>
      </c>
      <c r="L758" s="350">
        <v>16066.53</v>
      </c>
    </row>
    <row r="759" spans="1:12">
      <c r="A759" s="153">
        <v>335</v>
      </c>
      <c r="B759" s="337">
        <v>200</v>
      </c>
      <c r="C759" s="152">
        <v>300</v>
      </c>
      <c r="D759" s="152">
        <v>0</v>
      </c>
      <c r="E759" s="152">
        <v>0</v>
      </c>
      <c r="F759" s="152">
        <v>0</v>
      </c>
      <c r="G759" s="345" t="s">
        <v>2983</v>
      </c>
      <c r="H759" s="345" t="s">
        <v>1207</v>
      </c>
      <c r="I759" s="337" t="s">
        <v>1208</v>
      </c>
      <c r="J759" s="337"/>
      <c r="K759" s="350">
        <v>0</v>
      </c>
      <c r="L759" s="350">
        <v>0</v>
      </c>
    </row>
    <row r="760" spans="1:12">
      <c r="A760" s="150">
        <v>340</v>
      </c>
      <c r="B760" s="57">
        <v>0</v>
      </c>
      <c r="C760" s="57">
        <v>0</v>
      </c>
      <c r="D760" s="57">
        <v>0</v>
      </c>
      <c r="E760" s="57">
        <v>0</v>
      </c>
      <c r="F760" s="57">
        <v>0</v>
      </c>
      <c r="G760" s="355">
        <v>340</v>
      </c>
      <c r="H760" s="355" t="s">
        <v>68</v>
      </c>
      <c r="I760" s="57" t="s">
        <v>1209</v>
      </c>
      <c r="J760" s="57"/>
      <c r="K760" s="351">
        <v>0</v>
      </c>
      <c r="L760" s="351">
        <v>0</v>
      </c>
    </row>
    <row r="761" spans="1:12">
      <c r="A761" s="153">
        <v>340</v>
      </c>
      <c r="B761" s="337">
        <v>100</v>
      </c>
      <c r="C761" s="337">
        <v>0</v>
      </c>
      <c r="D761" s="337">
        <v>0</v>
      </c>
      <c r="E761" s="337">
        <v>0</v>
      </c>
      <c r="F761" s="337">
        <v>0</v>
      </c>
      <c r="G761" s="345" t="s">
        <v>2984</v>
      </c>
      <c r="H761" s="345" t="s">
        <v>1210</v>
      </c>
      <c r="I761" s="337" t="s">
        <v>1211</v>
      </c>
      <c r="J761" s="336"/>
      <c r="K761" s="351">
        <v>0</v>
      </c>
      <c r="L761" s="351">
        <v>0</v>
      </c>
    </row>
    <row r="762" spans="1:12">
      <c r="A762" s="153">
        <v>340</v>
      </c>
      <c r="B762" s="337">
        <v>100</v>
      </c>
      <c r="C762" s="152">
        <v>100</v>
      </c>
      <c r="D762" s="152">
        <v>0</v>
      </c>
      <c r="E762" s="152">
        <v>0</v>
      </c>
      <c r="F762" s="152">
        <v>0</v>
      </c>
      <c r="G762" s="344" t="s">
        <v>2985</v>
      </c>
      <c r="H762" s="344" t="s">
        <v>1212</v>
      </c>
      <c r="I762" s="337"/>
      <c r="J762" s="337"/>
      <c r="K762" s="357">
        <v>0</v>
      </c>
      <c r="L762" s="357">
        <v>504</v>
      </c>
    </row>
    <row r="763" spans="1:12">
      <c r="A763" s="153">
        <v>340</v>
      </c>
      <c r="B763" s="337">
        <v>100</v>
      </c>
      <c r="C763" s="152">
        <v>200</v>
      </c>
      <c r="D763" s="152">
        <v>0</v>
      </c>
      <c r="E763" s="152">
        <v>0</v>
      </c>
      <c r="F763" s="152">
        <v>0</v>
      </c>
      <c r="G763" s="344" t="s">
        <v>2986</v>
      </c>
      <c r="H763" s="344" t="s">
        <v>1213</v>
      </c>
      <c r="I763" s="337"/>
      <c r="J763" s="337"/>
      <c r="K763" s="357">
        <v>19756.669999999998</v>
      </c>
      <c r="L763" s="357">
        <v>18081.68</v>
      </c>
    </row>
    <row r="764" spans="1:12">
      <c r="A764" s="153">
        <v>340</v>
      </c>
      <c r="B764" s="337">
        <v>100</v>
      </c>
      <c r="C764" s="152">
        <v>300</v>
      </c>
      <c r="D764" s="152">
        <v>0</v>
      </c>
      <c r="E764" s="152">
        <v>0</v>
      </c>
      <c r="F764" s="152">
        <v>0</v>
      </c>
      <c r="G764" s="344" t="s">
        <v>2987</v>
      </c>
      <c r="H764" s="344" t="s">
        <v>1214</v>
      </c>
      <c r="I764" s="337"/>
      <c r="J764" s="337"/>
      <c r="K764" s="357">
        <v>0</v>
      </c>
      <c r="L764" s="357">
        <v>0</v>
      </c>
    </row>
    <row r="765" spans="1:12">
      <c r="A765" s="153">
        <v>340</v>
      </c>
      <c r="B765" s="337">
        <v>100</v>
      </c>
      <c r="C765" s="152">
        <v>400</v>
      </c>
      <c r="D765" s="152">
        <v>0</v>
      </c>
      <c r="E765" s="152">
        <v>0</v>
      </c>
      <c r="F765" s="152">
        <v>0</v>
      </c>
      <c r="G765" s="344" t="s">
        <v>2988</v>
      </c>
      <c r="H765" s="344" t="s">
        <v>1215</v>
      </c>
      <c r="I765" s="337"/>
      <c r="J765" s="337"/>
      <c r="K765" s="357">
        <v>120253</v>
      </c>
      <c r="L765" s="357">
        <v>115626</v>
      </c>
    </row>
    <row r="766" spans="1:12">
      <c r="A766" s="153">
        <v>340</v>
      </c>
      <c r="B766" s="337">
        <v>100</v>
      </c>
      <c r="C766" s="152">
        <v>500</v>
      </c>
      <c r="D766" s="152">
        <v>0</v>
      </c>
      <c r="E766" s="152">
        <v>0</v>
      </c>
      <c r="F766" s="152">
        <v>0</v>
      </c>
      <c r="G766" s="344" t="s">
        <v>2989</v>
      </c>
      <c r="H766" s="344" t="s">
        <v>1216</v>
      </c>
      <c r="I766" s="337"/>
      <c r="J766" s="337"/>
      <c r="K766" s="357">
        <v>0</v>
      </c>
      <c r="L766" s="357">
        <v>0</v>
      </c>
    </row>
    <row r="767" spans="1:12">
      <c r="A767" s="153">
        <v>340</v>
      </c>
      <c r="B767" s="337">
        <v>100</v>
      </c>
      <c r="C767" s="152">
        <v>600</v>
      </c>
      <c r="D767" s="152">
        <v>0</v>
      </c>
      <c r="E767" s="152">
        <v>0</v>
      </c>
      <c r="F767" s="152">
        <v>0</v>
      </c>
      <c r="G767" s="344" t="s">
        <v>2990</v>
      </c>
      <c r="H767" s="344" t="s">
        <v>1217</v>
      </c>
      <c r="I767" s="337"/>
      <c r="J767" s="337"/>
      <c r="K767" s="357">
        <v>0</v>
      </c>
      <c r="L767" s="357">
        <v>0</v>
      </c>
    </row>
    <row r="768" spans="1:12">
      <c r="A768" s="153">
        <v>340</v>
      </c>
      <c r="B768" s="337">
        <v>100</v>
      </c>
      <c r="C768" s="152">
        <v>900</v>
      </c>
      <c r="D768" s="152">
        <v>0</v>
      </c>
      <c r="E768" s="152">
        <v>0</v>
      </c>
      <c r="F768" s="152">
        <v>0</v>
      </c>
      <c r="G768" s="344" t="s">
        <v>2991</v>
      </c>
      <c r="H768" s="344" t="s">
        <v>1218</v>
      </c>
      <c r="I768" s="337"/>
      <c r="J768" s="337"/>
      <c r="K768" s="357">
        <v>14228.45</v>
      </c>
      <c r="L768" s="357">
        <v>20816.09</v>
      </c>
    </row>
    <row r="769" spans="1:12">
      <c r="A769" s="153">
        <v>340</v>
      </c>
      <c r="B769" s="152">
        <v>200</v>
      </c>
      <c r="C769" s="152">
        <v>0</v>
      </c>
      <c r="D769" s="152">
        <v>0</v>
      </c>
      <c r="E769" s="152">
        <v>0</v>
      </c>
      <c r="F769" s="152">
        <v>0</v>
      </c>
      <c r="G769" s="345" t="s">
        <v>2992</v>
      </c>
      <c r="H769" s="345" t="s">
        <v>1219</v>
      </c>
      <c r="I769" s="337" t="s">
        <v>1220</v>
      </c>
      <c r="J769" s="337"/>
      <c r="K769" s="357">
        <v>0</v>
      </c>
      <c r="L769" s="357">
        <v>0</v>
      </c>
    </row>
    <row r="770" spans="1:12">
      <c r="A770" s="153">
        <v>340</v>
      </c>
      <c r="B770" s="337">
        <v>300</v>
      </c>
      <c r="C770" s="337">
        <v>0</v>
      </c>
      <c r="D770" s="337">
        <v>0</v>
      </c>
      <c r="E770" s="337">
        <v>0</v>
      </c>
      <c r="F770" s="337">
        <v>0</v>
      </c>
      <c r="G770" s="345" t="s">
        <v>2993</v>
      </c>
      <c r="H770" s="345" t="s">
        <v>1221</v>
      </c>
      <c r="I770" s="337" t="s">
        <v>1222</v>
      </c>
      <c r="J770" s="336"/>
      <c r="K770" s="351">
        <v>0</v>
      </c>
      <c r="L770" s="351">
        <v>0</v>
      </c>
    </row>
    <row r="771" spans="1:12" ht="25.5">
      <c r="A771" s="153">
        <v>340</v>
      </c>
      <c r="B771" s="337">
        <v>300</v>
      </c>
      <c r="C771" s="337">
        <v>100</v>
      </c>
      <c r="D771" s="337">
        <v>0</v>
      </c>
      <c r="E771" s="337">
        <v>0</v>
      </c>
      <c r="F771" s="337">
        <v>0</v>
      </c>
      <c r="G771" s="345" t="s">
        <v>2994</v>
      </c>
      <c r="H771" s="345" t="s">
        <v>1223</v>
      </c>
      <c r="I771" s="337" t="s">
        <v>1224</v>
      </c>
      <c r="J771" s="336"/>
      <c r="K771" s="351">
        <v>0</v>
      </c>
      <c r="L771" s="351">
        <v>0</v>
      </c>
    </row>
    <row r="772" spans="1:12">
      <c r="A772" s="153">
        <v>340</v>
      </c>
      <c r="B772" s="337">
        <v>300</v>
      </c>
      <c r="C772" s="337">
        <v>100</v>
      </c>
      <c r="D772" s="337">
        <v>100</v>
      </c>
      <c r="E772" s="337">
        <v>0</v>
      </c>
      <c r="F772" s="337">
        <v>0</v>
      </c>
      <c r="G772" s="345" t="s">
        <v>2995</v>
      </c>
      <c r="H772" s="345" t="s">
        <v>1225</v>
      </c>
      <c r="I772" s="337"/>
      <c r="J772" s="336"/>
      <c r="K772" s="351">
        <v>0</v>
      </c>
      <c r="L772" s="351">
        <v>0</v>
      </c>
    </row>
    <row r="773" spans="1:12">
      <c r="A773" s="153">
        <v>340</v>
      </c>
      <c r="B773" s="337">
        <v>300</v>
      </c>
      <c r="C773" s="337">
        <v>100</v>
      </c>
      <c r="D773" s="337">
        <v>100</v>
      </c>
      <c r="E773" s="152">
        <v>10</v>
      </c>
      <c r="F773" s="152">
        <v>0</v>
      </c>
      <c r="G773" s="344" t="s">
        <v>2996</v>
      </c>
      <c r="H773" s="344" t="s">
        <v>1226</v>
      </c>
      <c r="I773" s="337"/>
      <c r="J773" s="337"/>
      <c r="K773" s="357">
        <v>607824.52</v>
      </c>
      <c r="L773" s="357">
        <v>557714.41</v>
      </c>
    </row>
    <row r="774" spans="1:12">
      <c r="A774" s="153">
        <v>340</v>
      </c>
      <c r="B774" s="337">
        <v>300</v>
      </c>
      <c r="C774" s="337">
        <v>100</v>
      </c>
      <c r="D774" s="337">
        <v>100</v>
      </c>
      <c r="E774" s="152">
        <v>30</v>
      </c>
      <c r="F774" s="152">
        <v>0</v>
      </c>
      <c r="G774" s="344" t="s">
        <v>2997</v>
      </c>
      <c r="H774" s="344" t="s">
        <v>635</v>
      </c>
      <c r="I774" s="337"/>
      <c r="J774" s="337"/>
      <c r="K774" s="357">
        <v>105780.96</v>
      </c>
      <c r="L774" s="357">
        <v>62616.67</v>
      </c>
    </row>
    <row r="775" spans="1:12">
      <c r="A775" s="153">
        <v>340</v>
      </c>
      <c r="B775" s="337">
        <v>300</v>
      </c>
      <c r="C775" s="337">
        <v>100</v>
      </c>
      <c r="D775" s="337">
        <v>100</v>
      </c>
      <c r="E775" s="152">
        <v>90</v>
      </c>
      <c r="F775" s="152">
        <v>0</v>
      </c>
      <c r="G775" s="344" t="s">
        <v>2998</v>
      </c>
      <c r="H775" s="344" t="s">
        <v>1227</v>
      </c>
      <c r="I775" s="337"/>
      <c r="J775" s="337"/>
      <c r="K775" s="357">
        <v>882.83</v>
      </c>
      <c r="L775" s="357">
        <v>1340.06</v>
      </c>
    </row>
    <row r="776" spans="1:12">
      <c r="A776" s="153">
        <v>340</v>
      </c>
      <c r="B776" s="337">
        <v>300</v>
      </c>
      <c r="C776" s="337">
        <v>100</v>
      </c>
      <c r="D776" s="337">
        <v>200</v>
      </c>
      <c r="E776" s="337">
        <v>0</v>
      </c>
      <c r="F776" s="337">
        <v>0</v>
      </c>
      <c r="G776" s="345" t="s">
        <v>2999</v>
      </c>
      <c r="H776" s="345" t="s">
        <v>1228</v>
      </c>
      <c r="I776" s="337"/>
      <c r="J776" s="336"/>
      <c r="K776" s="351">
        <v>0</v>
      </c>
      <c r="L776" s="351">
        <v>0</v>
      </c>
    </row>
    <row r="777" spans="1:12">
      <c r="A777" s="153">
        <v>340</v>
      </c>
      <c r="B777" s="337">
        <v>300</v>
      </c>
      <c r="C777" s="337">
        <v>100</v>
      </c>
      <c r="D777" s="337">
        <v>200</v>
      </c>
      <c r="E777" s="152">
        <v>10</v>
      </c>
      <c r="F777" s="152">
        <v>0</v>
      </c>
      <c r="G777" s="344" t="s">
        <v>3000</v>
      </c>
      <c r="H777" s="344" t="s">
        <v>1226</v>
      </c>
      <c r="I777" s="337"/>
      <c r="J777" s="337"/>
      <c r="K777" s="357">
        <v>51093.18</v>
      </c>
      <c r="L777" s="357">
        <v>53079.12</v>
      </c>
    </row>
    <row r="778" spans="1:12">
      <c r="A778" s="153">
        <v>340</v>
      </c>
      <c r="B778" s="337">
        <v>300</v>
      </c>
      <c r="C778" s="337">
        <v>100</v>
      </c>
      <c r="D778" s="337">
        <v>200</v>
      </c>
      <c r="E778" s="152">
        <v>30</v>
      </c>
      <c r="F778" s="152">
        <v>0</v>
      </c>
      <c r="G778" s="344" t="s">
        <v>3001</v>
      </c>
      <c r="H778" s="344" t="s">
        <v>635</v>
      </c>
      <c r="I778" s="337"/>
      <c r="J778" s="337"/>
      <c r="K778" s="357">
        <v>0</v>
      </c>
      <c r="L778" s="357">
        <v>0</v>
      </c>
    </row>
    <row r="779" spans="1:12">
      <c r="A779" s="153">
        <v>340</v>
      </c>
      <c r="B779" s="337">
        <v>300</v>
      </c>
      <c r="C779" s="337">
        <v>100</v>
      </c>
      <c r="D779" s="337">
        <v>200</v>
      </c>
      <c r="E779" s="152">
        <v>90</v>
      </c>
      <c r="F779" s="152">
        <v>0</v>
      </c>
      <c r="G779" s="344" t="s">
        <v>3002</v>
      </c>
      <c r="H779" s="344" t="s">
        <v>1229</v>
      </c>
      <c r="I779" s="337"/>
      <c r="J779" s="337"/>
      <c r="K779" s="357">
        <v>3648.73</v>
      </c>
      <c r="L779" s="357">
        <v>4881.05</v>
      </c>
    </row>
    <row r="780" spans="1:12">
      <c r="A780" s="153">
        <v>340</v>
      </c>
      <c r="B780" s="337">
        <v>300</v>
      </c>
      <c r="C780" s="337">
        <v>100</v>
      </c>
      <c r="D780" s="337">
        <v>300</v>
      </c>
      <c r="E780" s="337">
        <v>0</v>
      </c>
      <c r="F780" s="337">
        <v>0</v>
      </c>
      <c r="G780" s="345" t="s">
        <v>3003</v>
      </c>
      <c r="H780" s="345" t="s">
        <v>1230</v>
      </c>
      <c r="I780" s="337"/>
      <c r="J780" s="336"/>
      <c r="K780" s="351">
        <v>0</v>
      </c>
      <c r="L780" s="351">
        <v>0</v>
      </c>
    </row>
    <row r="781" spans="1:12">
      <c r="A781" s="153">
        <v>340</v>
      </c>
      <c r="B781" s="337">
        <v>300</v>
      </c>
      <c r="C781" s="337">
        <v>100</v>
      </c>
      <c r="D781" s="337">
        <v>300</v>
      </c>
      <c r="E781" s="152">
        <v>10</v>
      </c>
      <c r="F781" s="152">
        <v>0</v>
      </c>
      <c r="G781" s="344" t="s">
        <v>3004</v>
      </c>
      <c r="H781" s="344" t="s">
        <v>1226</v>
      </c>
      <c r="I781" s="337"/>
      <c r="J781" s="337"/>
      <c r="K781" s="357">
        <v>7500</v>
      </c>
      <c r="L781" s="357">
        <v>4800</v>
      </c>
    </row>
    <row r="782" spans="1:12">
      <c r="A782" s="153">
        <v>340</v>
      </c>
      <c r="B782" s="337">
        <v>300</v>
      </c>
      <c r="C782" s="337">
        <v>100</v>
      </c>
      <c r="D782" s="337">
        <v>300</v>
      </c>
      <c r="E782" s="152">
        <v>30</v>
      </c>
      <c r="F782" s="152">
        <v>0</v>
      </c>
      <c r="G782" s="344" t="s">
        <v>3005</v>
      </c>
      <c r="H782" s="344" t="s">
        <v>635</v>
      </c>
      <c r="I782" s="337"/>
      <c r="J782" s="337"/>
      <c r="K782" s="357">
        <v>1200</v>
      </c>
      <c r="L782" s="357">
        <v>0</v>
      </c>
    </row>
    <row r="783" spans="1:12">
      <c r="A783" s="153">
        <v>340</v>
      </c>
      <c r="B783" s="337">
        <v>300</v>
      </c>
      <c r="C783" s="337">
        <v>100</v>
      </c>
      <c r="D783" s="337">
        <v>300</v>
      </c>
      <c r="E783" s="152">
        <v>90</v>
      </c>
      <c r="F783" s="152">
        <v>0</v>
      </c>
      <c r="G783" s="344" t="s">
        <v>3006</v>
      </c>
      <c r="H783" s="344" t="s">
        <v>1231</v>
      </c>
      <c r="I783" s="337"/>
      <c r="J783" s="337"/>
      <c r="K783" s="357">
        <v>925.08</v>
      </c>
      <c r="L783" s="357">
        <v>1522.14</v>
      </c>
    </row>
    <row r="784" spans="1:12">
      <c r="A784" s="153">
        <v>340</v>
      </c>
      <c r="B784" s="337">
        <v>300</v>
      </c>
      <c r="C784" s="337">
        <v>200</v>
      </c>
      <c r="D784" s="337">
        <v>0</v>
      </c>
      <c r="E784" s="337">
        <v>0</v>
      </c>
      <c r="F784" s="337">
        <v>0</v>
      </c>
      <c r="G784" s="345" t="s">
        <v>3007</v>
      </c>
      <c r="H784" s="345" t="s">
        <v>1221</v>
      </c>
      <c r="I784" s="337" t="s">
        <v>1232</v>
      </c>
      <c r="J784" s="336"/>
      <c r="K784" s="351">
        <v>0</v>
      </c>
      <c r="L784" s="351">
        <v>0</v>
      </c>
    </row>
    <row r="785" spans="1:12">
      <c r="A785" s="153">
        <v>340</v>
      </c>
      <c r="B785" s="337">
        <v>300</v>
      </c>
      <c r="C785" s="337">
        <v>200</v>
      </c>
      <c r="D785" s="152">
        <v>100</v>
      </c>
      <c r="E785" s="152">
        <v>0</v>
      </c>
      <c r="F785" s="152">
        <v>0</v>
      </c>
      <c r="G785" s="344" t="s">
        <v>3008</v>
      </c>
      <c r="H785" s="344" t="s">
        <v>1233</v>
      </c>
      <c r="I785" s="337"/>
      <c r="J785" s="337"/>
      <c r="K785" s="357">
        <v>0</v>
      </c>
      <c r="L785" s="357">
        <v>0</v>
      </c>
    </row>
    <row r="786" spans="1:12">
      <c r="A786" s="153">
        <v>340</v>
      </c>
      <c r="B786" s="337">
        <v>300</v>
      </c>
      <c r="C786" s="337">
        <v>200</v>
      </c>
      <c r="D786" s="152">
        <v>200</v>
      </c>
      <c r="E786" s="152">
        <v>0</v>
      </c>
      <c r="F786" s="152">
        <v>0</v>
      </c>
      <c r="G786" s="344" t="s">
        <v>3446</v>
      </c>
      <c r="H786" s="344" t="s">
        <v>1234</v>
      </c>
      <c r="I786" s="337"/>
      <c r="J786" s="337"/>
      <c r="K786" s="357">
        <v>0</v>
      </c>
      <c r="L786" s="357">
        <v>0</v>
      </c>
    </row>
    <row r="787" spans="1:12">
      <c r="A787" s="153">
        <v>340</v>
      </c>
      <c r="B787" s="337">
        <v>300</v>
      </c>
      <c r="C787" s="337">
        <v>200</v>
      </c>
      <c r="D787" s="152">
        <v>900</v>
      </c>
      <c r="E787" s="152">
        <v>0</v>
      </c>
      <c r="F787" s="152">
        <v>0</v>
      </c>
      <c r="G787" s="344" t="s">
        <v>3445</v>
      </c>
      <c r="H787" s="344" t="s">
        <v>1221</v>
      </c>
      <c r="I787" s="337"/>
      <c r="J787" s="337"/>
      <c r="K787" s="357">
        <v>0</v>
      </c>
      <c r="L787" s="357">
        <v>0</v>
      </c>
    </row>
    <row r="788" spans="1:12" ht="25.5">
      <c r="A788" s="153">
        <v>340</v>
      </c>
      <c r="B788" s="337">
        <v>300</v>
      </c>
      <c r="C788" s="337">
        <v>300</v>
      </c>
      <c r="D788" s="152">
        <v>0</v>
      </c>
      <c r="E788" s="152">
        <v>0</v>
      </c>
      <c r="F788" s="152">
        <v>0</v>
      </c>
      <c r="G788" s="344" t="s">
        <v>3009</v>
      </c>
      <c r="H788" s="344" t="s">
        <v>1235</v>
      </c>
      <c r="I788" s="337" t="s">
        <v>1236</v>
      </c>
      <c r="J788" s="337" t="s">
        <v>1522</v>
      </c>
      <c r="K788" s="357">
        <v>0</v>
      </c>
      <c r="L788" s="357">
        <v>0</v>
      </c>
    </row>
    <row r="789" spans="1:12">
      <c r="A789" s="153">
        <v>340</v>
      </c>
      <c r="B789" s="337">
        <v>300</v>
      </c>
      <c r="C789" s="337">
        <v>400</v>
      </c>
      <c r="D789" s="152">
        <v>0</v>
      </c>
      <c r="E789" s="152">
        <v>0</v>
      </c>
      <c r="F789" s="152">
        <v>0</v>
      </c>
      <c r="G789" s="344" t="s">
        <v>3010</v>
      </c>
      <c r="H789" s="344" t="s">
        <v>1237</v>
      </c>
      <c r="I789" s="337" t="s">
        <v>1238</v>
      </c>
      <c r="J789" s="337"/>
      <c r="K789" s="357">
        <v>0</v>
      </c>
      <c r="L789" s="357">
        <v>0</v>
      </c>
    </row>
    <row r="790" spans="1:12">
      <c r="A790" s="150">
        <v>345</v>
      </c>
      <c r="B790" s="57">
        <v>0</v>
      </c>
      <c r="C790" s="57">
        <v>0</v>
      </c>
      <c r="D790" s="57">
        <v>0</v>
      </c>
      <c r="E790" s="57">
        <v>0</v>
      </c>
      <c r="F790" s="57">
        <v>0</v>
      </c>
      <c r="G790" s="355">
        <v>345</v>
      </c>
      <c r="H790" s="355" t="s">
        <v>1239</v>
      </c>
      <c r="I790" s="57" t="s">
        <v>1240</v>
      </c>
      <c r="J790" s="57"/>
      <c r="K790" s="351">
        <v>0</v>
      </c>
      <c r="L790" s="351">
        <v>0</v>
      </c>
    </row>
    <row r="791" spans="1:12">
      <c r="A791" s="153">
        <v>345</v>
      </c>
      <c r="B791" s="152">
        <v>100</v>
      </c>
      <c r="C791" s="152">
        <v>0</v>
      </c>
      <c r="D791" s="152">
        <v>0</v>
      </c>
      <c r="E791" s="152">
        <v>0</v>
      </c>
      <c r="F791" s="152">
        <v>0</v>
      </c>
      <c r="G791" s="344" t="s">
        <v>3011</v>
      </c>
      <c r="H791" s="344" t="s">
        <v>1241</v>
      </c>
      <c r="I791" s="337"/>
      <c r="J791" s="337"/>
      <c r="K791" s="357">
        <v>0</v>
      </c>
      <c r="L791" s="357">
        <v>0</v>
      </c>
    </row>
    <row r="792" spans="1:12">
      <c r="A792" s="153">
        <v>345</v>
      </c>
      <c r="B792" s="152">
        <v>200</v>
      </c>
      <c r="C792" s="152">
        <v>0</v>
      </c>
      <c r="D792" s="152">
        <v>0</v>
      </c>
      <c r="E792" s="152">
        <v>0</v>
      </c>
      <c r="F792" s="152">
        <v>0</v>
      </c>
      <c r="G792" s="344" t="s">
        <v>3012</v>
      </c>
      <c r="H792" s="344" t="s">
        <v>1242</v>
      </c>
      <c r="I792" s="337"/>
      <c r="J792" s="337"/>
      <c r="K792" s="357">
        <v>0</v>
      </c>
      <c r="L792" s="357">
        <v>0</v>
      </c>
    </row>
    <row r="793" spans="1:12" ht="38.25">
      <c r="A793" s="153">
        <v>345</v>
      </c>
      <c r="B793" s="152">
        <v>300</v>
      </c>
      <c r="C793" s="152">
        <v>0</v>
      </c>
      <c r="D793" s="152">
        <v>0</v>
      </c>
      <c r="E793" s="152">
        <v>0</v>
      </c>
      <c r="F793" s="152">
        <v>0</v>
      </c>
      <c r="G793" s="344" t="s">
        <v>3013</v>
      </c>
      <c r="H793" s="344" t="s">
        <v>1243</v>
      </c>
      <c r="I793" s="337"/>
      <c r="J793" s="337"/>
      <c r="K793" s="357">
        <v>0</v>
      </c>
      <c r="L793" s="357">
        <v>0</v>
      </c>
    </row>
    <row r="794" spans="1:12" ht="25.5">
      <c r="A794" s="153">
        <v>345</v>
      </c>
      <c r="B794" s="152">
        <v>400</v>
      </c>
      <c r="C794" s="152">
        <v>0</v>
      </c>
      <c r="D794" s="152">
        <v>0</v>
      </c>
      <c r="E794" s="152">
        <v>0</v>
      </c>
      <c r="F794" s="152">
        <v>0</v>
      </c>
      <c r="G794" s="344" t="s">
        <v>3014</v>
      </c>
      <c r="H794" s="344" t="s">
        <v>1244</v>
      </c>
      <c r="I794" s="337"/>
      <c r="J794" s="337"/>
      <c r="K794" s="357">
        <v>0</v>
      </c>
      <c r="L794" s="357">
        <v>0</v>
      </c>
    </row>
    <row r="795" spans="1:12" ht="25.5">
      <c r="A795" s="153">
        <v>345</v>
      </c>
      <c r="B795" s="152">
        <v>500</v>
      </c>
      <c r="C795" s="152">
        <v>0</v>
      </c>
      <c r="D795" s="152">
        <v>0</v>
      </c>
      <c r="E795" s="152">
        <v>0</v>
      </c>
      <c r="F795" s="152">
        <v>0</v>
      </c>
      <c r="G795" s="344" t="s">
        <v>3015</v>
      </c>
      <c r="H795" s="344" t="s">
        <v>1245</v>
      </c>
      <c r="I795" s="337"/>
      <c r="J795" s="337"/>
      <c r="K795" s="357">
        <v>15368.34</v>
      </c>
      <c r="L795" s="357">
        <v>12733.14</v>
      </c>
    </row>
    <row r="796" spans="1:12">
      <c r="A796" s="153">
        <v>345</v>
      </c>
      <c r="B796" s="152">
        <v>600</v>
      </c>
      <c r="C796" s="152">
        <v>0</v>
      </c>
      <c r="D796" s="152">
        <v>0</v>
      </c>
      <c r="E796" s="152">
        <v>0</v>
      </c>
      <c r="F796" s="152">
        <v>0</v>
      </c>
      <c r="G796" s="344" t="s">
        <v>3016</v>
      </c>
      <c r="H796" s="344" t="s">
        <v>1246</v>
      </c>
      <c r="I796" s="337"/>
      <c r="J796" s="337"/>
      <c r="K796" s="357">
        <v>0</v>
      </c>
      <c r="L796" s="357">
        <v>0</v>
      </c>
    </row>
    <row r="797" spans="1:12">
      <c r="A797" s="153">
        <v>345</v>
      </c>
      <c r="B797" s="152">
        <v>700</v>
      </c>
      <c r="C797" s="152">
        <v>0</v>
      </c>
      <c r="D797" s="152">
        <v>0</v>
      </c>
      <c r="E797" s="152">
        <v>0</v>
      </c>
      <c r="F797" s="152">
        <v>0</v>
      </c>
      <c r="G797" s="344" t="s">
        <v>3017</v>
      </c>
      <c r="H797" s="344" t="s">
        <v>1247</v>
      </c>
      <c r="I797" s="337"/>
      <c r="J797" s="337"/>
      <c r="K797" s="357">
        <v>0</v>
      </c>
      <c r="L797" s="357">
        <v>0</v>
      </c>
    </row>
    <row r="798" spans="1:12">
      <c r="A798" s="153">
        <v>345</v>
      </c>
      <c r="B798" s="152">
        <v>900</v>
      </c>
      <c r="C798" s="152">
        <v>0</v>
      </c>
      <c r="D798" s="152">
        <v>0</v>
      </c>
      <c r="E798" s="152">
        <v>0</v>
      </c>
      <c r="F798" s="152">
        <v>0</v>
      </c>
      <c r="G798" s="344" t="s">
        <v>3018</v>
      </c>
      <c r="H798" s="344" t="s">
        <v>1248</v>
      </c>
      <c r="I798" s="337"/>
      <c r="J798" s="337"/>
      <c r="K798" s="357">
        <v>0</v>
      </c>
      <c r="L798" s="357">
        <v>0</v>
      </c>
    </row>
    <row r="799" spans="1:12">
      <c r="A799" s="150">
        <v>350</v>
      </c>
      <c r="B799" s="57">
        <v>0</v>
      </c>
      <c r="C799" s="57">
        <v>0</v>
      </c>
      <c r="D799" s="57">
        <v>0</v>
      </c>
      <c r="E799" s="57">
        <v>0</v>
      </c>
      <c r="F799" s="57">
        <v>0</v>
      </c>
      <c r="G799" s="355">
        <v>350</v>
      </c>
      <c r="H799" s="355" t="s">
        <v>1249</v>
      </c>
      <c r="I799" s="57" t="s">
        <v>1250</v>
      </c>
      <c r="J799" s="57"/>
      <c r="K799" s="351">
        <v>0</v>
      </c>
      <c r="L799" s="351">
        <v>0</v>
      </c>
    </row>
    <row r="800" spans="1:12">
      <c r="A800" s="153">
        <v>350</v>
      </c>
      <c r="B800" s="337">
        <v>100</v>
      </c>
      <c r="C800" s="337">
        <v>0</v>
      </c>
      <c r="D800" s="337">
        <v>0</v>
      </c>
      <c r="E800" s="337">
        <v>0</v>
      </c>
      <c r="F800" s="337">
        <v>0</v>
      </c>
      <c r="G800" s="345" t="s">
        <v>3019</v>
      </c>
      <c r="H800" s="345" t="s">
        <v>1251</v>
      </c>
      <c r="I800" s="337" t="s">
        <v>1252</v>
      </c>
      <c r="J800" s="336"/>
      <c r="K800" s="351">
        <v>0</v>
      </c>
      <c r="L800" s="351">
        <v>0</v>
      </c>
    </row>
    <row r="801" spans="1:12">
      <c r="A801" s="153">
        <v>350</v>
      </c>
      <c r="B801" s="337">
        <v>100</v>
      </c>
      <c r="C801" s="152">
        <v>100</v>
      </c>
      <c r="D801" s="152">
        <v>0</v>
      </c>
      <c r="E801" s="152">
        <v>0</v>
      </c>
      <c r="F801" s="152">
        <v>0</v>
      </c>
      <c r="G801" s="344" t="s">
        <v>3020</v>
      </c>
      <c r="H801" s="344" t="s">
        <v>1253</v>
      </c>
      <c r="I801" s="337" t="s">
        <v>1254</v>
      </c>
      <c r="J801" s="337"/>
      <c r="K801" s="350">
        <v>19407.14</v>
      </c>
      <c r="L801" s="350">
        <v>47760.29</v>
      </c>
    </row>
    <row r="802" spans="1:12">
      <c r="A802" s="153">
        <v>350</v>
      </c>
      <c r="B802" s="337">
        <v>100</v>
      </c>
      <c r="C802" s="152">
        <v>200</v>
      </c>
      <c r="D802" s="152">
        <v>0</v>
      </c>
      <c r="E802" s="152">
        <v>0</v>
      </c>
      <c r="F802" s="152">
        <v>0</v>
      </c>
      <c r="G802" s="344" t="s">
        <v>3021</v>
      </c>
      <c r="H802" s="344" t="s">
        <v>1255</v>
      </c>
      <c r="I802" s="337" t="s">
        <v>1256</v>
      </c>
      <c r="J802" s="337"/>
      <c r="K802" s="350">
        <v>1021914.43</v>
      </c>
      <c r="L802" s="350">
        <v>909974.63</v>
      </c>
    </row>
    <row r="803" spans="1:12">
      <c r="A803" s="153">
        <v>350</v>
      </c>
      <c r="B803" s="337">
        <v>200</v>
      </c>
      <c r="C803" s="337">
        <v>0</v>
      </c>
      <c r="D803" s="337">
        <v>0</v>
      </c>
      <c r="E803" s="337">
        <v>0</v>
      </c>
      <c r="F803" s="337">
        <v>0</v>
      </c>
      <c r="G803" s="345" t="s">
        <v>3022</v>
      </c>
      <c r="H803" s="345" t="s">
        <v>1257</v>
      </c>
      <c r="I803" s="337" t="s">
        <v>1258</v>
      </c>
      <c r="J803" s="336"/>
      <c r="K803" s="351">
        <v>0</v>
      </c>
      <c r="L803" s="351">
        <v>0</v>
      </c>
    </row>
    <row r="804" spans="1:12">
      <c r="A804" s="153">
        <v>350</v>
      </c>
      <c r="B804" s="337">
        <v>200</v>
      </c>
      <c r="C804" s="152">
        <v>100</v>
      </c>
      <c r="D804" s="152">
        <v>0</v>
      </c>
      <c r="E804" s="152">
        <v>0</v>
      </c>
      <c r="F804" s="152">
        <v>0</v>
      </c>
      <c r="G804" s="344" t="s">
        <v>3023</v>
      </c>
      <c r="H804" s="344" t="s">
        <v>1259</v>
      </c>
      <c r="I804" s="337"/>
      <c r="J804" s="337"/>
      <c r="K804" s="357">
        <v>227.14</v>
      </c>
      <c r="L804" s="357">
        <v>227.14</v>
      </c>
    </row>
    <row r="805" spans="1:12">
      <c r="A805" s="153">
        <v>350</v>
      </c>
      <c r="B805" s="337">
        <v>200</v>
      </c>
      <c r="C805" s="152">
        <v>200</v>
      </c>
      <c r="D805" s="152">
        <v>0</v>
      </c>
      <c r="E805" s="152">
        <v>0</v>
      </c>
      <c r="F805" s="152">
        <v>0</v>
      </c>
      <c r="G805" s="344" t="s">
        <v>3024</v>
      </c>
      <c r="H805" s="344" t="s">
        <v>1260</v>
      </c>
      <c r="I805" s="337"/>
      <c r="J805" s="337"/>
      <c r="K805" s="357">
        <v>1586900.47</v>
      </c>
      <c r="L805" s="357">
        <v>1461559.16</v>
      </c>
    </row>
    <row r="806" spans="1:12">
      <c r="A806" s="153">
        <v>350</v>
      </c>
      <c r="B806" s="337">
        <v>200</v>
      </c>
      <c r="C806" s="152">
        <v>300</v>
      </c>
      <c r="D806" s="152">
        <v>0</v>
      </c>
      <c r="E806" s="152">
        <v>0</v>
      </c>
      <c r="F806" s="152">
        <v>0</v>
      </c>
      <c r="G806" s="344" t="s">
        <v>3025</v>
      </c>
      <c r="H806" s="344" t="s">
        <v>1261</v>
      </c>
      <c r="I806" s="337"/>
      <c r="J806" s="337"/>
      <c r="K806" s="357">
        <v>103812.81</v>
      </c>
      <c r="L806" s="357">
        <v>100916.63</v>
      </c>
    </row>
    <row r="807" spans="1:12">
      <c r="A807" s="153">
        <v>350</v>
      </c>
      <c r="B807" s="337">
        <v>200</v>
      </c>
      <c r="C807" s="152">
        <v>400</v>
      </c>
      <c r="D807" s="152">
        <v>0</v>
      </c>
      <c r="E807" s="152">
        <v>0</v>
      </c>
      <c r="F807" s="152">
        <v>0</v>
      </c>
      <c r="G807" s="344" t="s">
        <v>3026</v>
      </c>
      <c r="H807" s="344" t="s">
        <v>1262</v>
      </c>
      <c r="I807" s="337"/>
      <c r="J807" s="337"/>
      <c r="K807" s="357">
        <v>4751.0200000000004</v>
      </c>
      <c r="L807" s="357">
        <v>6127.07</v>
      </c>
    </row>
    <row r="808" spans="1:12">
      <c r="A808" s="153">
        <v>350</v>
      </c>
      <c r="B808" s="337">
        <v>200</v>
      </c>
      <c r="C808" s="152">
        <v>500</v>
      </c>
      <c r="D808" s="152">
        <v>0</v>
      </c>
      <c r="E808" s="152">
        <v>0</v>
      </c>
      <c r="F808" s="152">
        <v>0</v>
      </c>
      <c r="G808" s="344" t="s">
        <v>3027</v>
      </c>
      <c r="H808" s="344" t="s">
        <v>1263</v>
      </c>
      <c r="I808" s="337"/>
      <c r="J808" s="337"/>
      <c r="K808" s="357">
        <v>273460.28000000003</v>
      </c>
      <c r="L808" s="357">
        <v>250441.5</v>
      </c>
    </row>
    <row r="809" spans="1:12">
      <c r="A809" s="150">
        <v>355</v>
      </c>
      <c r="B809" s="57">
        <v>0</v>
      </c>
      <c r="C809" s="57">
        <v>0</v>
      </c>
      <c r="D809" s="57">
        <v>0</v>
      </c>
      <c r="E809" s="57">
        <v>0</v>
      </c>
      <c r="F809" s="57">
        <v>0</v>
      </c>
      <c r="G809" s="355">
        <v>355</v>
      </c>
      <c r="H809" s="355" t="s">
        <v>1264</v>
      </c>
      <c r="I809" s="57" t="s">
        <v>1265</v>
      </c>
      <c r="J809" s="57"/>
      <c r="K809" s="351">
        <v>0</v>
      </c>
      <c r="L809" s="351">
        <v>0</v>
      </c>
    </row>
    <row r="810" spans="1:12">
      <c r="A810" s="153">
        <v>355</v>
      </c>
      <c r="B810" s="337">
        <v>100</v>
      </c>
      <c r="C810" s="337">
        <v>0</v>
      </c>
      <c r="D810" s="337">
        <v>0</v>
      </c>
      <c r="E810" s="337">
        <v>0</v>
      </c>
      <c r="F810" s="337">
        <v>0</v>
      </c>
      <c r="G810" s="345" t="s">
        <v>3028</v>
      </c>
      <c r="H810" s="345" t="s">
        <v>1266</v>
      </c>
      <c r="I810" s="337" t="s">
        <v>1267</v>
      </c>
      <c r="J810" s="336"/>
      <c r="K810" s="351">
        <v>0</v>
      </c>
      <c r="L810" s="351">
        <v>0</v>
      </c>
    </row>
    <row r="811" spans="1:12">
      <c r="A811" s="153">
        <v>355</v>
      </c>
      <c r="B811" s="337">
        <v>100</v>
      </c>
      <c r="C811" s="337">
        <v>100</v>
      </c>
      <c r="D811" s="337">
        <v>0</v>
      </c>
      <c r="E811" s="337">
        <v>0</v>
      </c>
      <c r="F811" s="337">
        <v>0</v>
      </c>
      <c r="G811" s="364" t="s">
        <v>3029</v>
      </c>
      <c r="H811" s="345" t="s">
        <v>1268</v>
      </c>
      <c r="I811" s="337"/>
      <c r="J811" s="336"/>
      <c r="K811" s="351">
        <v>0</v>
      </c>
      <c r="L811" s="351">
        <v>0</v>
      </c>
    </row>
    <row r="812" spans="1:12">
      <c r="A812" s="153">
        <v>355</v>
      </c>
      <c r="B812" s="337">
        <v>100</v>
      </c>
      <c r="C812" s="337">
        <v>100</v>
      </c>
      <c r="D812" s="152">
        <v>100</v>
      </c>
      <c r="E812" s="152">
        <v>0</v>
      </c>
      <c r="F812" s="152">
        <v>0</v>
      </c>
      <c r="G812" s="363" t="s">
        <v>3030</v>
      </c>
      <c r="H812" s="344" t="s">
        <v>1269</v>
      </c>
      <c r="I812" s="337"/>
      <c r="J812" s="337"/>
      <c r="K812" s="357">
        <v>0</v>
      </c>
      <c r="L812" s="357">
        <v>0</v>
      </c>
    </row>
    <row r="813" spans="1:12">
      <c r="A813" s="153">
        <v>355</v>
      </c>
      <c r="B813" s="337">
        <v>100</v>
      </c>
      <c r="C813" s="337">
        <v>100</v>
      </c>
      <c r="D813" s="152">
        <v>200</v>
      </c>
      <c r="E813" s="152">
        <v>0</v>
      </c>
      <c r="F813" s="152">
        <v>0</v>
      </c>
      <c r="G813" s="363" t="s">
        <v>3031</v>
      </c>
      <c r="H813" s="344" t="s">
        <v>1270</v>
      </c>
      <c r="I813" s="337"/>
      <c r="J813" s="337"/>
      <c r="K813" s="357">
        <v>0</v>
      </c>
      <c r="L813" s="357">
        <v>0</v>
      </c>
    </row>
    <row r="814" spans="1:12" ht="25.5">
      <c r="A814" s="153">
        <v>355</v>
      </c>
      <c r="B814" s="337">
        <v>100</v>
      </c>
      <c r="C814" s="337">
        <v>100</v>
      </c>
      <c r="D814" s="152">
        <v>300</v>
      </c>
      <c r="E814" s="152">
        <v>0</v>
      </c>
      <c r="F814" s="152">
        <v>0</v>
      </c>
      <c r="G814" s="363" t="s">
        <v>3032</v>
      </c>
      <c r="H814" s="344" t="s">
        <v>1271</v>
      </c>
      <c r="I814" s="337"/>
      <c r="J814" s="337"/>
      <c r="K814" s="357">
        <v>0</v>
      </c>
      <c r="L814" s="357">
        <v>0</v>
      </c>
    </row>
    <row r="815" spans="1:12">
      <c r="A815" s="153">
        <v>355</v>
      </c>
      <c r="B815" s="337">
        <v>100</v>
      </c>
      <c r="C815" s="337">
        <v>100</v>
      </c>
      <c r="D815" s="152">
        <v>400</v>
      </c>
      <c r="E815" s="152">
        <v>0</v>
      </c>
      <c r="F815" s="152">
        <v>0</v>
      </c>
      <c r="G815" s="363" t="s">
        <v>3033</v>
      </c>
      <c r="H815" s="344" t="s">
        <v>1272</v>
      </c>
      <c r="I815" s="337"/>
      <c r="J815" s="337"/>
      <c r="K815" s="357">
        <v>0</v>
      </c>
      <c r="L815" s="357">
        <v>0</v>
      </c>
    </row>
    <row r="816" spans="1:12">
      <c r="A816" s="153">
        <v>355</v>
      </c>
      <c r="B816" s="337">
        <v>100</v>
      </c>
      <c r="C816" s="337">
        <v>200</v>
      </c>
      <c r="D816" s="337">
        <v>0</v>
      </c>
      <c r="E816" s="337">
        <v>0</v>
      </c>
      <c r="F816" s="337">
        <v>0</v>
      </c>
      <c r="G816" s="364" t="s">
        <v>3034</v>
      </c>
      <c r="H816" s="345" t="s">
        <v>1273</v>
      </c>
      <c r="I816" s="337"/>
      <c r="J816" s="336"/>
      <c r="K816" s="351">
        <v>0</v>
      </c>
      <c r="L816" s="351">
        <v>0</v>
      </c>
    </row>
    <row r="817" spans="1:12">
      <c r="A817" s="153">
        <v>355</v>
      </c>
      <c r="B817" s="337">
        <v>100</v>
      </c>
      <c r="C817" s="337">
        <v>200</v>
      </c>
      <c r="D817" s="152">
        <v>50</v>
      </c>
      <c r="E817" s="152">
        <v>0</v>
      </c>
      <c r="F817" s="152">
        <v>0</v>
      </c>
      <c r="G817" s="363" t="s">
        <v>3035</v>
      </c>
      <c r="H817" s="344" t="s">
        <v>1274</v>
      </c>
      <c r="I817" s="337"/>
      <c r="J817" s="337"/>
      <c r="K817" s="357">
        <v>0</v>
      </c>
      <c r="L817" s="357">
        <v>0</v>
      </c>
    </row>
    <row r="818" spans="1:12">
      <c r="A818" s="153">
        <v>355</v>
      </c>
      <c r="B818" s="337">
        <v>100</v>
      </c>
      <c r="C818" s="337">
        <v>200</v>
      </c>
      <c r="D818" s="152">
        <v>100</v>
      </c>
      <c r="E818" s="152">
        <v>0</v>
      </c>
      <c r="F818" s="152">
        <v>0</v>
      </c>
      <c r="G818" s="363" t="s">
        <v>3036</v>
      </c>
      <c r="H818" s="344" t="s">
        <v>1275</v>
      </c>
      <c r="I818" s="337"/>
      <c r="J818" s="337"/>
      <c r="K818" s="357">
        <v>0</v>
      </c>
      <c r="L818" s="357">
        <v>0</v>
      </c>
    </row>
    <row r="819" spans="1:12">
      <c r="A819" s="153">
        <v>355</v>
      </c>
      <c r="B819" s="337">
        <v>100</v>
      </c>
      <c r="C819" s="337">
        <v>200</v>
      </c>
      <c r="D819" s="152">
        <v>150</v>
      </c>
      <c r="E819" s="152">
        <v>0</v>
      </c>
      <c r="F819" s="152">
        <v>0</v>
      </c>
      <c r="G819" s="363" t="s">
        <v>3037</v>
      </c>
      <c r="H819" s="344" t="s">
        <v>1276</v>
      </c>
      <c r="I819" s="337"/>
      <c r="J819" s="337"/>
      <c r="K819" s="357">
        <v>0</v>
      </c>
      <c r="L819" s="357">
        <v>0</v>
      </c>
    </row>
    <row r="820" spans="1:12">
      <c r="A820" s="153">
        <v>355</v>
      </c>
      <c r="B820" s="337">
        <v>100</v>
      </c>
      <c r="C820" s="337">
        <v>200</v>
      </c>
      <c r="D820" s="152">
        <v>200</v>
      </c>
      <c r="E820" s="152">
        <v>0</v>
      </c>
      <c r="F820" s="152">
        <v>0</v>
      </c>
      <c r="G820" s="363" t="s">
        <v>3038</v>
      </c>
      <c r="H820" s="344" t="s">
        <v>1277</v>
      </c>
      <c r="I820" s="337"/>
      <c r="J820" s="337"/>
      <c r="K820" s="357">
        <v>0</v>
      </c>
      <c r="L820" s="357">
        <v>0</v>
      </c>
    </row>
    <row r="821" spans="1:12">
      <c r="A821" s="153">
        <v>355</v>
      </c>
      <c r="B821" s="337">
        <v>100</v>
      </c>
      <c r="C821" s="337">
        <v>200</v>
      </c>
      <c r="D821" s="152">
        <v>250</v>
      </c>
      <c r="E821" s="152">
        <v>0</v>
      </c>
      <c r="F821" s="152">
        <v>0</v>
      </c>
      <c r="G821" s="363" t="s">
        <v>3039</v>
      </c>
      <c r="H821" s="344" t="s">
        <v>1278</v>
      </c>
      <c r="I821" s="337"/>
      <c r="J821" s="337"/>
      <c r="K821" s="357">
        <v>0</v>
      </c>
      <c r="L821" s="357">
        <v>0</v>
      </c>
    </row>
    <row r="822" spans="1:12">
      <c r="A822" s="153">
        <v>355</v>
      </c>
      <c r="B822" s="337">
        <v>100</v>
      </c>
      <c r="C822" s="337">
        <v>200</v>
      </c>
      <c r="D822" s="152">
        <v>300</v>
      </c>
      <c r="E822" s="152">
        <v>0</v>
      </c>
      <c r="F822" s="152">
        <v>0</v>
      </c>
      <c r="G822" s="363" t="s">
        <v>3040</v>
      </c>
      <c r="H822" s="344" t="s">
        <v>1279</v>
      </c>
      <c r="I822" s="337"/>
      <c r="J822" s="337"/>
      <c r="K822" s="357">
        <v>0</v>
      </c>
      <c r="L822" s="357">
        <v>0</v>
      </c>
    </row>
    <row r="823" spans="1:12">
      <c r="A823" s="153">
        <v>355</v>
      </c>
      <c r="B823" s="337">
        <v>100</v>
      </c>
      <c r="C823" s="337">
        <v>200</v>
      </c>
      <c r="D823" s="152">
        <v>350</v>
      </c>
      <c r="E823" s="152">
        <v>0</v>
      </c>
      <c r="F823" s="152">
        <v>0</v>
      </c>
      <c r="G823" s="363" t="s">
        <v>3041</v>
      </c>
      <c r="H823" s="344" t="s">
        <v>1280</v>
      </c>
      <c r="I823" s="337"/>
      <c r="J823" s="337"/>
      <c r="K823" s="357">
        <v>0</v>
      </c>
      <c r="L823" s="357">
        <v>0</v>
      </c>
    </row>
    <row r="824" spans="1:12">
      <c r="A824" s="153">
        <v>355</v>
      </c>
      <c r="B824" s="337">
        <v>100</v>
      </c>
      <c r="C824" s="337">
        <v>200</v>
      </c>
      <c r="D824" s="152">
        <v>400</v>
      </c>
      <c r="E824" s="152">
        <v>0</v>
      </c>
      <c r="F824" s="152">
        <v>0</v>
      </c>
      <c r="G824" s="363" t="s">
        <v>3042</v>
      </c>
      <c r="H824" s="344" t="s">
        <v>1281</v>
      </c>
      <c r="I824" s="337"/>
      <c r="J824" s="337"/>
      <c r="K824" s="357">
        <v>0</v>
      </c>
      <c r="L824" s="357">
        <v>0</v>
      </c>
    </row>
    <row r="825" spans="1:12">
      <c r="A825" s="153">
        <v>355</v>
      </c>
      <c r="B825" s="337">
        <v>100</v>
      </c>
      <c r="C825" s="337">
        <v>200</v>
      </c>
      <c r="D825" s="152">
        <v>450</v>
      </c>
      <c r="E825" s="152">
        <v>0</v>
      </c>
      <c r="F825" s="152">
        <v>0</v>
      </c>
      <c r="G825" s="363" t="s">
        <v>3043</v>
      </c>
      <c r="H825" s="344" t="s">
        <v>1282</v>
      </c>
      <c r="I825" s="337"/>
      <c r="J825" s="337"/>
      <c r="K825" s="357">
        <v>0</v>
      </c>
      <c r="L825" s="357">
        <v>0</v>
      </c>
    </row>
    <row r="826" spans="1:12">
      <c r="A826" s="153">
        <v>355</v>
      </c>
      <c r="B826" s="337">
        <v>100</v>
      </c>
      <c r="C826" s="337">
        <v>200</v>
      </c>
      <c r="D826" s="152">
        <v>500</v>
      </c>
      <c r="E826" s="152">
        <v>0</v>
      </c>
      <c r="F826" s="152">
        <v>0</v>
      </c>
      <c r="G826" s="363" t="s">
        <v>3044</v>
      </c>
      <c r="H826" s="344" t="s">
        <v>1283</v>
      </c>
      <c r="I826" s="337"/>
      <c r="J826" s="337"/>
      <c r="K826" s="357">
        <v>0</v>
      </c>
      <c r="L826" s="357">
        <v>0</v>
      </c>
    </row>
    <row r="827" spans="1:12">
      <c r="A827" s="153">
        <v>355</v>
      </c>
      <c r="B827" s="337">
        <v>200</v>
      </c>
      <c r="C827" s="337">
        <v>0</v>
      </c>
      <c r="D827" s="337">
        <v>0</v>
      </c>
      <c r="E827" s="337">
        <v>0</v>
      </c>
      <c r="F827" s="337">
        <v>0</v>
      </c>
      <c r="G827" s="345" t="s">
        <v>3045</v>
      </c>
      <c r="H827" s="345" t="s">
        <v>1284</v>
      </c>
      <c r="I827" s="337" t="s">
        <v>1285</v>
      </c>
      <c r="J827" s="336"/>
      <c r="K827" s="351">
        <v>0</v>
      </c>
      <c r="L827" s="351">
        <v>0</v>
      </c>
    </row>
    <row r="828" spans="1:12">
      <c r="A828" s="153">
        <v>355</v>
      </c>
      <c r="B828" s="337">
        <v>200</v>
      </c>
      <c r="C828" s="152">
        <v>100</v>
      </c>
      <c r="D828" s="152">
        <v>0</v>
      </c>
      <c r="E828" s="152">
        <v>0</v>
      </c>
      <c r="F828" s="152">
        <v>0</v>
      </c>
      <c r="G828" s="363" t="s">
        <v>3046</v>
      </c>
      <c r="H828" s="344" t="s">
        <v>1286</v>
      </c>
      <c r="I828" s="337"/>
      <c r="J828" s="337"/>
      <c r="K828" s="357">
        <v>0</v>
      </c>
      <c r="L828" s="357">
        <v>0</v>
      </c>
    </row>
    <row r="829" spans="1:12">
      <c r="A829" s="153">
        <v>355</v>
      </c>
      <c r="B829" s="337">
        <v>200</v>
      </c>
      <c r="C829" s="152">
        <v>101</v>
      </c>
      <c r="D829" s="152">
        <v>0</v>
      </c>
      <c r="E829" s="152">
        <v>0</v>
      </c>
      <c r="F829" s="152">
        <v>0</v>
      </c>
      <c r="G829" s="363" t="s">
        <v>3047</v>
      </c>
      <c r="H829" s="344" t="s">
        <v>1287</v>
      </c>
      <c r="I829" s="337"/>
      <c r="J829" s="337"/>
      <c r="K829" s="357">
        <v>0</v>
      </c>
      <c r="L829" s="357">
        <v>0</v>
      </c>
    </row>
    <row r="830" spans="1:12">
      <c r="A830" s="153">
        <v>355</v>
      </c>
      <c r="B830" s="337">
        <v>200</v>
      </c>
      <c r="C830" s="152">
        <v>102</v>
      </c>
      <c r="D830" s="152">
        <v>0</v>
      </c>
      <c r="E830" s="152">
        <v>0</v>
      </c>
      <c r="F830" s="152">
        <v>0</v>
      </c>
      <c r="G830" s="363" t="s">
        <v>3048</v>
      </c>
      <c r="H830" s="344" t="s">
        <v>1288</v>
      </c>
      <c r="I830" s="337"/>
      <c r="J830" s="337"/>
      <c r="K830" s="357">
        <v>0</v>
      </c>
      <c r="L830" s="357">
        <v>0</v>
      </c>
    </row>
    <row r="831" spans="1:12">
      <c r="A831" s="153">
        <v>355</v>
      </c>
      <c r="B831" s="337">
        <v>200</v>
      </c>
      <c r="C831" s="152">
        <v>103</v>
      </c>
      <c r="D831" s="152">
        <v>0</v>
      </c>
      <c r="E831" s="152">
        <v>0</v>
      </c>
      <c r="F831" s="152">
        <v>0</v>
      </c>
      <c r="G831" s="363" t="s">
        <v>3049</v>
      </c>
      <c r="H831" s="344" t="s">
        <v>1289</v>
      </c>
      <c r="I831" s="337"/>
      <c r="J831" s="337"/>
      <c r="K831" s="357">
        <v>0</v>
      </c>
      <c r="L831" s="357">
        <v>0</v>
      </c>
    </row>
    <row r="832" spans="1:12" ht="25.5">
      <c r="A832" s="153">
        <v>355</v>
      </c>
      <c r="B832" s="337">
        <v>200</v>
      </c>
      <c r="C832" s="152">
        <v>200</v>
      </c>
      <c r="D832" s="152">
        <v>0</v>
      </c>
      <c r="E832" s="152">
        <v>0</v>
      </c>
      <c r="F832" s="152">
        <v>0</v>
      </c>
      <c r="G832" s="363" t="s">
        <v>3050</v>
      </c>
      <c r="H832" s="344" t="s">
        <v>1290</v>
      </c>
      <c r="I832" s="337"/>
      <c r="J832" s="337"/>
      <c r="K832" s="357">
        <v>0</v>
      </c>
      <c r="L832" s="357">
        <v>0</v>
      </c>
    </row>
    <row r="833" spans="1:12">
      <c r="A833" s="153">
        <v>355</v>
      </c>
      <c r="B833" s="337">
        <v>200</v>
      </c>
      <c r="C833" s="152">
        <v>201</v>
      </c>
      <c r="D833" s="152">
        <v>0</v>
      </c>
      <c r="E833" s="152">
        <v>0</v>
      </c>
      <c r="F833" s="152">
        <v>0</v>
      </c>
      <c r="G833" s="363" t="s">
        <v>3051</v>
      </c>
      <c r="H833" s="344" t="s">
        <v>1291</v>
      </c>
      <c r="I833" s="337"/>
      <c r="J833" s="337"/>
      <c r="K833" s="357">
        <v>0</v>
      </c>
      <c r="L833" s="357">
        <v>0</v>
      </c>
    </row>
    <row r="834" spans="1:12" ht="25.5">
      <c r="A834" s="153">
        <v>355</v>
      </c>
      <c r="B834" s="337">
        <v>200</v>
      </c>
      <c r="C834" s="152">
        <v>202</v>
      </c>
      <c r="D834" s="152">
        <v>0</v>
      </c>
      <c r="E834" s="152">
        <v>0</v>
      </c>
      <c r="F834" s="152">
        <v>0</v>
      </c>
      <c r="G834" s="363" t="s">
        <v>3052</v>
      </c>
      <c r="H834" s="344" t="s">
        <v>1292</v>
      </c>
      <c r="I834" s="337"/>
      <c r="J834" s="337"/>
      <c r="K834" s="357">
        <v>0</v>
      </c>
      <c r="L834" s="357">
        <v>0</v>
      </c>
    </row>
    <row r="835" spans="1:12" ht="25.5">
      <c r="A835" s="153">
        <v>355</v>
      </c>
      <c r="B835" s="337">
        <v>200</v>
      </c>
      <c r="C835" s="152">
        <v>203</v>
      </c>
      <c r="D835" s="152">
        <v>0</v>
      </c>
      <c r="E835" s="152">
        <v>0</v>
      </c>
      <c r="F835" s="152">
        <v>0</v>
      </c>
      <c r="G835" s="363" t="s">
        <v>3053</v>
      </c>
      <c r="H835" s="344" t="s">
        <v>1293</v>
      </c>
      <c r="I835" s="337"/>
      <c r="J835" s="337"/>
      <c r="K835" s="357">
        <v>0</v>
      </c>
      <c r="L835" s="357">
        <v>0</v>
      </c>
    </row>
    <row r="836" spans="1:12" ht="25.5">
      <c r="A836" s="153">
        <v>355</v>
      </c>
      <c r="B836" s="337">
        <v>200</v>
      </c>
      <c r="C836" s="152">
        <v>204</v>
      </c>
      <c r="D836" s="152">
        <v>0</v>
      </c>
      <c r="E836" s="152">
        <v>0</v>
      </c>
      <c r="F836" s="152">
        <v>0</v>
      </c>
      <c r="G836" s="363" t="s">
        <v>3054</v>
      </c>
      <c r="H836" s="344" t="s">
        <v>1294</v>
      </c>
      <c r="I836" s="337"/>
      <c r="J836" s="337"/>
      <c r="K836" s="357">
        <v>0</v>
      </c>
      <c r="L836" s="357">
        <v>0</v>
      </c>
    </row>
    <row r="837" spans="1:12" ht="25.5">
      <c r="A837" s="153">
        <v>355</v>
      </c>
      <c r="B837" s="337">
        <v>200</v>
      </c>
      <c r="C837" s="152">
        <v>205</v>
      </c>
      <c r="D837" s="152">
        <v>0</v>
      </c>
      <c r="E837" s="152">
        <v>0</v>
      </c>
      <c r="F837" s="152">
        <v>0</v>
      </c>
      <c r="G837" s="363" t="s">
        <v>3055</v>
      </c>
      <c r="H837" s="344" t="s">
        <v>1295</v>
      </c>
      <c r="I837" s="337"/>
      <c r="J837" s="337"/>
      <c r="K837" s="357">
        <v>0</v>
      </c>
      <c r="L837" s="357">
        <v>0</v>
      </c>
    </row>
    <row r="838" spans="1:12" ht="25.5">
      <c r="A838" s="153">
        <v>355</v>
      </c>
      <c r="B838" s="337">
        <v>200</v>
      </c>
      <c r="C838" s="152">
        <v>206</v>
      </c>
      <c r="D838" s="152">
        <v>0</v>
      </c>
      <c r="E838" s="152">
        <v>0</v>
      </c>
      <c r="F838" s="152">
        <v>0</v>
      </c>
      <c r="G838" s="363" t="s">
        <v>3056</v>
      </c>
      <c r="H838" s="344" t="s">
        <v>1296</v>
      </c>
      <c r="I838" s="337"/>
      <c r="J838" s="337"/>
      <c r="K838" s="357">
        <v>0</v>
      </c>
      <c r="L838" s="357">
        <v>0</v>
      </c>
    </row>
    <row r="839" spans="1:12" ht="25.5">
      <c r="A839" s="153">
        <v>355</v>
      </c>
      <c r="B839" s="337">
        <v>200</v>
      </c>
      <c r="C839" s="152">
        <v>207</v>
      </c>
      <c r="D839" s="152">
        <v>0</v>
      </c>
      <c r="E839" s="152">
        <v>0</v>
      </c>
      <c r="F839" s="152">
        <v>0</v>
      </c>
      <c r="G839" s="363" t="s">
        <v>3057</v>
      </c>
      <c r="H839" s="344" t="s">
        <v>1297</v>
      </c>
      <c r="I839" s="337"/>
      <c r="J839" s="337"/>
      <c r="K839" s="357">
        <v>0</v>
      </c>
      <c r="L839" s="357">
        <v>0</v>
      </c>
    </row>
    <row r="840" spans="1:12" ht="25.5">
      <c r="A840" s="153">
        <v>355</v>
      </c>
      <c r="B840" s="337">
        <v>200</v>
      </c>
      <c r="C840" s="152">
        <v>208</v>
      </c>
      <c r="D840" s="152">
        <v>0</v>
      </c>
      <c r="E840" s="152">
        <v>0</v>
      </c>
      <c r="F840" s="152">
        <v>0</v>
      </c>
      <c r="G840" s="363" t="s">
        <v>3058</v>
      </c>
      <c r="H840" s="344" t="s">
        <v>1298</v>
      </c>
      <c r="I840" s="337"/>
      <c r="J840" s="337"/>
      <c r="K840" s="357">
        <v>0</v>
      </c>
      <c r="L840" s="357">
        <v>0</v>
      </c>
    </row>
    <row r="841" spans="1:12" ht="25.5">
      <c r="A841" s="153">
        <v>355</v>
      </c>
      <c r="B841" s="337">
        <v>200</v>
      </c>
      <c r="C841" s="152">
        <v>209</v>
      </c>
      <c r="D841" s="152">
        <v>0</v>
      </c>
      <c r="E841" s="152">
        <v>0</v>
      </c>
      <c r="F841" s="152">
        <v>0</v>
      </c>
      <c r="G841" s="363" t="s">
        <v>3059</v>
      </c>
      <c r="H841" s="344" t="s">
        <v>1299</v>
      </c>
      <c r="I841" s="337"/>
      <c r="J841" s="337"/>
      <c r="K841" s="357">
        <v>0</v>
      </c>
      <c r="L841" s="357">
        <v>0</v>
      </c>
    </row>
    <row r="842" spans="1:12" ht="25.5">
      <c r="A842" s="153">
        <v>355</v>
      </c>
      <c r="B842" s="337">
        <v>200</v>
      </c>
      <c r="C842" s="152">
        <v>210</v>
      </c>
      <c r="D842" s="152">
        <v>0</v>
      </c>
      <c r="E842" s="152">
        <v>0</v>
      </c>
      <c r="F842" s="152">
        <v>0</v>
      </c>
      <c r="G842" s="363" t="s">
        <v>3060</v>
      </c>
      <c r="H842" s="344" t="s">
        <v>1300</v>
      </c>
      <c r="I842" s="337"/>
      <c r="J842" s="337"/>
      <c r="K842" s="357">
        <v>0</v>
      </c>
      <c r="L842" s="357">
        <v>0</v>
      </c>
    </row>
    <row r="843" spans="1:12" ht="25.5">
      <c r="A843" s="153">
        <v>355</v>
      </c>
      <c r="B843" s="337">
        <v>200</v>
      </c>
      <c r="C843" s="152">
        <v>211</v>
      </c>
      <c r="D843" s="152">
        <v>0</v>
      </c>
      <c r="E843" s="152">
        <v>0</v>
      </c>
      <c r="F843" s="152">
        <v>0</v>
      </c>
      <c r="G843" s="363" t="s">
        <v>3061</v>
      </c>
      <c r="H843" s="344" t="s">
        <v>1301</v>
      </c>
      <c r="I843" s="337"/>
      <c r="J843" s="337"/>
      <c r="K843" s="357">
        <v>0</v>
      </c>
      <c r="L843" s="357">
        <v>0</v>
      </c>
    </row>
    <row r="844" spans="1:12">
      <c r="A844" s="153">
        <v>355</v>
      </c>
      <c r="B844" s="337">
        <v>200</v>
      </c>
      <c r="C844" s="152">
        <v>300</v>
      </c>
      <c r="D844" s="152">
        <v>0</v>
      </c>
      <c r="E844" s="152">
        <v>0</v>
      </c>
      <c r="F844" s="152">
        <v>0</v>
      </c>
      <c r="G844" s="363" t="s">
        <v>3062</v>
      </c>
      <c r="H844" s="344" t="s">
        <v>1302</v>
      </c>
      <c r="I844" s="337"/>
      <c r="J844" s="337"/>
      <c r="K844" s="357">
        <v>0</v>
      </c>
      <c r="L844" s="357">
        <v>0</v>
      </c>
    </row>
    <row r="845" spans="1:12" ht="25.5">
      <c r="A845" s="153">
        <v>355</v>
      </c>
      <c r="B845" s="337">
        <v>200</v>
      </c>
      <c r="C845" s="152">
        <v>400</v>
      </c>
      <c r="D845" s="152">
        <v>0</v>
      </c>
      <c r="E845" s="152">
        <v>0</v>
      </c>
      <c r="F845" s="152">
        <v>0</v>
      </c>
      <c r="G845" s="363" t="s">
        <v>3063</v>
      </c>
      <c r="H845" s="344" t="s">
        <v>1303</v>
      </c>
      <c r="I845" s="337"/>
      <c r="J845" s="337"/>
      <c r="K845" s="357">
        <v>0</v>
      </c>
      <c r="L845" s="357">
        <v>0</v>
      </c>
    </row>
    <row r="846" spans="1:12" ht="25.5">
      <c r="A846" s="153">
        <v>355</v>
      </c>
      <c r="B846" s="337">
        <v>200</v>
      </c>
      <c r="C846" s="152">
        <v>401</v>
      </c>
      <c r="D846" s="152">
        <v>0</v>
      </c>
      <c r="E846" s="152">
        <v>0</v>
      </c>
      <c r="F846" s="152">
        <v>0</v>
      </c>
      <c r="G846" s="363" t="s">
        <v>3064</v>
      </c>
      <c r="H846" s="344" t="s">
        <v>1304</v>
      </c>
      <c r="I846" s="337"/>
      <c r="J846" s="337"/>
      <c r="K846" s="357">
        <v>0</v>
      </c>
      <c r="L846" s="357">
        <v>0</v>
      </c>
    </row>
    <row r="847" spans="1:12" ht="25.5">
      <c r="A847" s="153">
        <v>355</v>
      </c>
      <c r="B847" s="337">
        <v>200</v>
      </c>
      <c r="C847" s="152">
        <v>402</v>
      </c>
      <c r="D847" s="152">
        <v>0</v>
      </c>
      <c r="E847" s="152">
        <v>0</v>
      </c>
      <c r="F847" s="152">
        <v>0</v>
      </c>
      <c r="G847" s="363" t="s">
        <v>3065</v>
      </c>
      <c r="H847" s="344" t="s">
        <v>1305</v>
      </c>
      <c r="I847" s="337"/>
      <c r="J847" s="337"/>
      <c r="K847" s="357">
        <v>0</v>
      </c>
      <c r="L847" s="357">
        <v>0</v>
      </c>
    </row>
    <row r="848" spans="1:12" ht="25.5">
      <c r="A848" s="153">
        <v>355</v>
      </c>
      <c r="B848" s="337">
        <v>200</v>
      </c>
      <c r="C848" s="152">
        <v>403</v>
      </c>
      <c r="D848" s="152">
        <v>0</v>
      </c>
      <c r="E848" s="152">
        <v>0</v>
      </c>
      <c r="F848" s="152">
        <v>0</v>
      </c>
      <c r="G848" s="363" t="s">
        <v>3066</v>
      </c>
      <c r="H848" s="344" t="s">
        <v>1306</v>
      </c>
      <c r="I848" s="337"/>
      <c r="J848" s="337"/>
      <c r="K848" s="357">
        <v>0</v>
      </c>
      <c r="L848" s="357">
        <v>0</v>
      </c>
    </row>
    <row r="849" spans="1:12" ht="25.5">
      <c r="A849" s="153">
        <v>355</v>
      </c>
      <c r="B849" s="337">
        <v>200</v>
      </c>
      <c r="C849" s="152">
        <v>404</v>
      </c>
      <c r="D849" s="152">
        <v>0</v>
      </c>
      <c r="E849" s="152">
        <v>0</v>
      </c>
      <c r="F849" s="152">
        <v>0</v>
      </c>
      <c r="G849" s="363" t="s">
        <v>3067</v>
      </c>
      <c r="H849" s="344" t="s">
        <v>1307</v>
      </c>
      <c r="I849" s="337"/>
      <c r="J849" s="337"/>
      <c r="K849" s="357">
        <v>0</v>
      </c>
      <c r="L849" s="357">
        <v>0</v>
      </c>
    </row>
    <row r="850" spans="1:12" ht="25.5">
      <c r="A850" s="153">
        <v>355</v>
      </c>
      <c r="B850" s="337">
        <v>200</v>
      </c>
      <c r="C850" s="152">
        <v>405</v>
      </c>
      <c r="D850" s="152">
        <v>0</v>
      </c>
      <c r="E850" s="152">
        <v>0</v>
      </c>
      <c r="F850" s="152">
        <v>0</v>
      </c>
      <c r="G850" s="363" t="s">
        <v>3068</v>
      </c>
      <c r="H850" s="344" t="s">
        <v>1308</v>
      </c>
      <c r="I850" s="337"/>
      <c r="J850" s="337"/>
      <c r="K850" s="357">
        <v>0</v>
      </c>
      <c r="L850" s="357">
        <v>0</v>
      </c>
    </row>
    <row r="851" spans="1:12" ht="25.5">
      <c r="A851" s="153">
        <v>355</v>
      </c>
      <c r="B851" s="337">
        <v>200</v>
      </c>
      <c r="C851" s="152">
        <v>406</v>
      </c>
      <c r="D851" s="152">
        <v>0</v>
      </c>
      <c r="E851" s="152">
        <v>0</v>
      </c>
      <c r="F851" s="152">
        <v>0</v>
      </c>
      <c r="G851" s="363" t="s">
        <v>3069</v>
      </c>
      <c r="H851" s="344" t="s">
        <v>1309</v>
      </c>
      <c r="I851" s="337"/>
      <c r="J851" s="337"/>
      <c r="K851" s="357">
        <v>0</v>
      </c>
      <c r="L851" s="357">
        <v>0</v>
      </c>
    </row>
    <row r="852" spans="1:12" ht="38.25">
      <c r="A852" s="153">
        <v>355</v>
      </c>
      <c r="B852" s="337">
        <v>200</v>
      </c>
      <c r="C852" s="152">
        <v>407</v>
      </c>
      <c r="D852" s="152">
        <v>0</v>
      </c>
      <c r="E852" s="152">
        <v>0</v>
      </c>
      <c r="F852" s="152">
        <v>0</v>
      </c>
      <c r="G852" s="363" t="s">
        <v>3070</v>
      </c>
      <c r="H852" s="344" t="s">
        <v>1310</v>
      </c>
      <c r="I852" s="337"/>
      <c r="J852" s="337"/>
      <c r="K852" s="357">
        <v>0</v>
      </c>
      <c r="L852" s="357">
        <v>0</v>
      </c>
    </row>
    <row r="853" spans="1:12" ht="25.5">
      <c r="A853" s="153">
        <v>355</v>
      </c>
      <c r="B853" s="337">
        <v>200</v>
      </c>
      <c r="C853" s="152">
        <v>408</v>
      </c>
      <c r="D853" s="152">
        <v>0</v>
      </c>
      <c r="E853" s="152">
        <v>0</v>
      </c>
      <c r="F853" s="152">
        <v>0</v>
      </c>
      <c r="G853" s="363" t="s">
        <v>3071</v>
      </c>
      <c r="H853" s="344" t="s">
        <v>1311</v>
      </c>
      <c r="I853" s="337"/>
      <c r="J853" s="337"/>
      <c r="K853" s="357">
        <v>0</v>
      </c>
      <c r="L853" s="357">
        <v>0</v>
      </c>
    </row>
    <row r="854" spans="1:12" ht="25.5">
      <c r="A854" s="153">
        <v>355</v>
      </c>
      <c r="B854" s="337">
        <v>200</v>
      </c>
      <c r="C854" s="152">
        <v>409</v>
      </c>
      <c r="D854" s="152">
        <v>0</v>
      </c>
      <c r="E854" s="152">
        <v>0</v>
      </c>
      <c r="F854" s="152">
        <v>0</v>
      </c>
      <c r="G854" s="363" t="s">
        <v>3072</v>
      </c>
      <c r="H854" s="344" t="s">
        <v>1312</v>
      </c>
      <c r="I854" s="337"/>
      <c r="J854" s="337"/>
      <c r="K854" s="357">
        <v>0</v>
      </c>
      <c r="L854" s="357">
        <v>0</v>
      </c>
    </row>
    <row r="855" spans="1:12" ht="25.5">
      <c r="A855" s="153">
        <v>355</v>
      </c>
      <c r="B855" s="337">
        <v>200</v>
      </c>
      <c r="C855" s="152">
        <v>410</v>
      </c>
      <c r="D855" s="152">
        <v>0</v>
      </c>
      <c r="E855" s="152">
        <v>0</v>
      </c>
      <c r="F855" s="152">
        <v>0</v>
      </c>
      <c r="G855" s="363" t="s">
        <v>3073</v>
      </c>
      <c r="H855" s="344" t="s">
        <v>1313</v>
      </c>
      <c r="I855" s="337"/>
      <c r="J855" s="337"/>
      <c r="K855" s="357">
        <v>0</v>
      </c>
      <c r="L855" s="357">
        <v>0</v>
      </c>
    </row>
    <row r="856" spans="1:12" ht="25.5">
      <c r="A856" s="153">
        <v>355</v>
      </c>
      <c r="B856" s="337">
        <v>200</v>
      </c>
      <c r="C856" s="152">
        <v>411</v>
      </c>
      <c r="D856" s="152">
        <v>0</v>
      </c>
      <c r="E856" s="152">
        <v>0</v>
      </c>
      <c r="F856" s="152">
        <v>0</v>
      </c>
      <c r="G856" s="363" t="s">
        <v>3074</v>
      </c>
      <c r="H856" s="344" t="s">
        <v>1314</v>
      </c>
      <c r="I856" s="337"/>
      <c r="J856" s="337"/>
      <c r="K856" s="357">
        <v>0</v>
      </c>
      <c r="L856" s="357">
        <v>0</v>
      </c>
    </row>
    <row r="857" spans="1:12" ht="25.5">
      <c r="A857" s="153">
        <v>355</v>
      </c>
      <c r="B857" s="337">
        <v>200</v>
      </c>
      <c r="C857" s="152">
        <v>412</v>
      </c>
      <c r="D857" s="152">
        <v>0</v>
      </c>
      <c r="E857" s="152">
        <v>0</v>
      </c>
      <c r="F857" s="152">
        <v>0</v>
      </c>
      <c r="G857" s="363" t="s">
        <v>3075</v>
      </c>
      <c r="H857" s="344" t="s">
        <v>1315</v>
      </c>
      <c r="I857" s="337"/>
      <c r="J857" s="337"/>
      <c r="K857" s="357">
        <v>0</v>
      </c>
      <c r="L857" s="357">
        <v>0</v>
      </c>
    </row>
    <row r="858" spans="1:12" ht="25.5">
      <c r="A858" s="153">
        <v>355</v>
      </c>
      <c r="B858" s="337">
        <v>200</v>
      </c>
      <c r="C858" s="152">
        <v>413</v>
      </c>
      <c r="D858" s="152">
        <v>0</v>
      </c>
      <c r="E858" s="152">
        <v>0</v>
      </c>
      <c r="F858" s="152">
        <v>0</v>
      </c>
      <c r="G858" s="363" t="s">
        <v>3076</v>
      </c>
      <c r="H858" s="344" t="s">
        <v>1316</v>
      </c>
      <c r="I858" s="337"/>
      <c r="J858" s="337"/>
      <c r="K858" s="357">
        <v>0</v>
      </c>
      <c r="L858" s="357">
        <v>0</v>
      </c>
    </row>
    <row r="859" spans="1:12" ht="38.25">
      <c r="A859" s="153">
        <v>355</v>
      </c>
      <c r="B859" s="337">
        <v>200</v>
      </c>
      <c r="C859" s="152">
        <v>414</v>
      </c>
      <c r="D859" s="152">
        <v>0</v>
      </c>
      <c r="E859" s="152">
        <v>0</v>
      </c>
      <c r="F859" s="152">
        <v>0</v>
      </c>
      <c r="G859" s="363" t="s">
        <v>3077</v>
      </c>
      <c r="H859" s="344" t="s">
        <v>1317</v>
      </c>
      <c r="I859" s="337"/>
      <c r="J859" s="337"/>
      <c r="K859" s="357">
        <v>0</v>
      </c>
      <c r="L859" s="357">
        <v>0</v>
      </c>
    </row>
    <row r="860" spans="1:12">
      <c r="A860" s="153">
        <v>355</v>
      </c>
      <c r="B860" s="337">
        <v>200</v>
      </c>
      <c r="C860" s="152">
        <v>415</v>
      </c>
      <c r="D860" s="152">
        <v>0</v>
      </c>
      <c r="E860" s="152">
        <v>0</v>
      </c>
      <c r="F860" s="152">
        <v>0</v>
      </c>
      <c r="G860" s="363" t="s">
        <v>3078</v>
      </c>
      <c r="H860" s="344" t="s">
        <v>1318</v>
      </c>
      <c r="I860" s="337"/>
      <c r="J860" s="337"/>
      <c r="K860" s="357">
        <v>0</v>
      </c>
      <c r="L860" s="357">
        <v>0</v>
      </c>
    </row>
    <row r="861" spans="1:12" ht="25.5">
      <c r="A861" s="153">
        <v>355</v>
      </c>
      <c r="B861" s="337">
        <v>200</v>
      </c>
      <c r="C861" s="152">
        <v>602</v>
      </c>
      <c r="D861" s="152">
        <v>0</v>
      </c>
      <c r="E861" s="152">
        <v>0</v>
      </c>
      <c r="F861" s="152">
        <v>0</v>
      </c>
      <c r="G861" s="363" t="s">
        <v>3079</v>
      </c>
      <c r="H861" s="344" t="s">
        <v>1319</v>
      </c>
      <c r="I861" s="337"/>
      <c r="J861" s="337"/>
      <c r="K861" s="357">
        <v>124985.4</v>
      </c>
      <c r="L861" s="357">
        <v>0</v>
      </c>
    </row>
    <row r="862" spans="1:12">
      <c r="A862" s="153">
        <v>355</v>
      </c>
      <c r="B862" s="337">
        <v>200</v>
      </c>
      <c r="C862" s="152">
        <v>603</v>
      </c>
      <c r="D862" s="152">
        <v>0</v>
      </c>
      <c r="E862" s="152">
        <v>0</v>
      </c>
      <c r="F862" s="152">
        <v>0</v>
      </c>
      <c r="G862" s="363" t="s">
        <v>3080</v>
      </c>
      <c r="H862" s="344" t="s">
        <v>1320</v>
      </c>
      <c r="I862" s="337"/>
      <c r="J862" s="337"/>
      <c r="K862" s="357">
        <v>0</v>
      </c>
      <c r="L862" s="357">
        <v>0</v>
      </c>
    </row>
    <row r="863" spans="1:12">
      <c r="A863" s="153">
        <v>355</v>
      </c>
      <c r="B863" s="337">
        <v>200</v>
      </c>
      <c r="C863" s="152">
        <v>700</v>
      </c>
      <c r="D863" s="152">
        <v>0</v>
      </c>
      <c r="E863" s="152">
        <v>0</v>
      </c>
      <c r="F863" s="152">
        <v>0</v>
      </c>
      <c r="G863" s="363" t="s">
        <v>3081</v>
      </c>
      <c r="H863" s="344" t="s">
        <v>1321</v>
      </c>
      <c r="I863" s="337"/>
      <c r="J863" s="337"/>
      <c r="K863" s="357">
        <v>0</v>
      </c>
      <c r="L863" s="357">
        <v>0</v>
      </c>
    </row>
    <row r="864" spans="1:12">
      <c r="A864" s="153">
        <v>355</v>
      </c>
      <c r="B864" s="337">
        <v>200</v>
      </c>
      <c r="C864" s="152">
        <v>701</v>
      </c>
      <c r="D864" s="152">
        <v>0</v>
      </c>
      <c r="E864" s="152">
        <v>0</v>
      </c>
      <c r="F864" s="152">
        <v>0</v>
      </c>
      <c r="G864" s="363" t="s">
        <v>3082</v>
      </c>
      <c r="H864" s="344" t="s">
        <v>1322</v>
      </c>
      <c r="I864" s="337"/>
      <c r="J864" s="337"/>
      <c r="K864" s="357">
        <v>0</v>
      </c>
      <c r="L864" s="357">
        <v>0</v>
      </c>
    </row>
    <row r="865" spans="1:12">
      <c r="A865" s="153">
        <v>355</v>
      </c>
      <c r="B865" s="337">
        <v>200</v>
      </c>
      <c r="C865" s="152">
        <v>702</v>
      </c>
      <c r="D865" s="152">
        <v>0</v>
      </c>
      <c r="E865" s="152">
        <v>0</v>
      </c>
      <c r="F865" s="152">
        <v>0</v>
      </c>
      <c r="G865" s="363" t="s">
        <v>3083</v>
      </c>
      <c r="H865" s="344" t="s">
        <v>1323</v>
      </c>
      <c r="I865" s="337"/>
      <c r="J865" s="337"/>
      <c r="K865" s="357">
        <v>0</v>
      </c>
      <c r="L865" s="357">
        <v>0</v>
      </c>
    </row>
    <row r="866" spans="1:12">
      <c r="A866" s="153">
        <v>355</v>
      </c>
      <c r="B866" s="337">
        <v>200</v>
      </c>
      <c r="C866" s="152">
        <v>900</v>
      </c>
      <c r="D866" s="152">
        <v>0</v>
      </c>
      <c r="E866" s="152">
        <v>0</v>
      </c>
      <c r="F866" s="152">
        <v>0</v>
      </c>
      <c r="G866" s="363" t="s">
        <v>3084</v>
      </c>
      <c r="H866" s="344" t="s">
        <v>1324</v>
      </c>
      <c r="I866" s="337"/>
      <c r="J866" s="337"/>
      <c r="K866" s="357">
        <v>187657.25</v>
      </c>
      <c r="L866" s="357">
        <v>210612.54</v>
      </c>
    </row>
    <row r="867" spans="1:12">
      <c r="A867" s="153">
        <v>355</v>
      </c>
      <c r="B867" s="337">
        <v>200</v>
      </c>
      <c r="C867" s="152">
        <v>901</v>
      </c>
      <c r="D867" s="152">
        <v>0</v>
      </c>
      <c r="E867" s="152">
        <v>0</v>
      </c>
      <c r="F867" s="152">
        <v>0</v>
      </c>
      <c r="G867" s="363" t="s">
        <v>3085</v>
      </c>
      <c r="H867" s="344" t="s">
        <v>1325</v>
      </c>
      <c r="I867" s="337"/>
      <c r="J867" s="337"/>
      <c r="K867" s="357">
        <v>0</v>
      </c>
      <c r="L867" s="357">
        <v>0</v>
      </c>
    </row>
    <row r="868" spans="1:12">
      <c r="A868" s="153">
        <v>355</v>
      </c>
      <c r="B868" s="337">
        <v>200</v>
      </c>
      <c r="C868" s="152">
        <v>902</v>
      </c>
      <c r="D868" s="152">
        <v>0</v>
      </c>
      <c r="E868" s="152">
        <v>0</v>
      </c>
      <c r="F868" s="152">
        <v>0</v>
      </c>
      <c r="G868" s="363" t="s">
        <v>3086</v>
      </c>
      <c r="H868" s="344" t="s">
        <v>1326</v>
      </c>
      <c r="I868" s="337"/>
      <c r="J868" s="337"/>
      <c r="K868" s="357">
        <v>0</v>
      </c>
      <c r="L868" s="357">
        <v>0</v>
      </c>
    </row>
    <row r="869" spans="1:12" ht="25.5">
      <c r="A869" s="153">
        <v>355</v>
      </c>
      <c r="B869" s="337">
        <v>200</v>
      </c>
      <c r="C869" s="152">
        <v>903</v>
      </c>
      <c r="D869" s="152">
        <v>0</v>
      </c>
      <c r="E869" s="152">
        <v>0</v>
      </c>
      <c r="F869" s="152">
        <v>0</v>
      </c>
      <c r="G869" s="363" t="s">
        <v>3087</v>
      </c>
      <c r="H869" s="344" t="s">
        <v>1327</v>
      </c>
      <c r="I869" s="337"/>
      <c r="J869" s="337"/>
      <c r="K869" s="357">
        <v>0</v>
      </c>
      <c r="L869" s="357">
        <v>0</v>
      </c>
    </row>
    <row r="870" spans="1:12">
      <c r="A870" s="153">
        <v>355</v>
      </c>
      <c r="B870" s="337">
        <v>200</v>
      </c>
      <c r="C870" s="152">
        <v>990</v>
      </c>
      <c r="D870" s="152">
        <v>0</v>
      </c>
      <c r="E870" s="152">
        <v>0</v>
      </c>
      <c r="F870" s="152">
        <v>0</v>
      </c>
      <c r="G870" s="363" t="s">
        <v>3088</v>
      </c>
      <c r="H870" s="344" t="s">
        <v>1328</v>
      </c>
      <c r="I870" s="337"/>
      <c r="J870" s="337"/>
      <c r="K870" s="357">
        <v>0</v>
      </c>
      <c r="L870" s="357">
        <v>0</v>
      </c>
    </row>
    <row r="871" spans="1:12">
      <c r="A871" s="150">
        <v>360</v>
      </c>
      <c r="B871" s="57">
        <v>0</v>
      </c>
      <c r="C871" s="57">
        <v>0</v>
      </c>
      <c r="D871" s="57">
        <v>0</v>
      </c>
      <c r="E871" s="57">
        <v>0</v>
      </c>
      <c r="F871" s="57">
        <v>0</v>
      </c>
      <c r="G871" s="355">
        <v>360</v>
      </c>
      <c r="H871" s="355" t="s">
        <v>74</v>
      </c>
      <c r="I871" s="57" t="s">
        <v>1329</v>
      </c>
      <c r="J871" s="57"/>
      <c r="K871" s="351">
        <v>0</v>
      </c>
      <c r="L871" s="351">
        <v>0</v>
      </c>
    </row>
    <row r="872" spans="1:12">
      <c r="A872" s="153">
        <v>360</v>
      </c>
      <c r="B872" s="152">
        <v>100</v>
      </c>
      <c r="C872" s="152">
        <v>0</v>
      </c>
      <c r="D872" s="152">
        <v>0</v>
      </c>
      <c r="E872" s="152">
        <v>0</v>
      </c>
      <c r="F872" s="152">
        <v>0</v>
      </c>
      <c r="G872" s="344" t="s">
        <v>3089</v>
      </c>
      <c r="H872" s="344" t="s">
        <v>1330</v>
      </c>
      <c r="I872" s="337" t="s">
        <v>1331</v>
      </c>
      <c r="J872" s="336"/>
      <c r="K872" s="351">
        <v>0</v>
      </c>
      <c r="L872" s="351">
        <v>0</v>
      </c>
    </row>
    <row r="873" spans="1:12">
      <c r="A873" s="153">
        <v>360</v>
      </c>
      <c r="B873" s="152">
        <v>100</v>
      </c>
      <c r="C873" s="152">
        <v>10</v>
      </c>
      <c r="D873" s="152">
        <v>0</v>
      </c>
      <c r="E873" s="152">
        <v>0</v>
      </c>
      <c r="F873" s="152">
        <v>0</v>
      </c>
      <c r="G873" s="344" t="s">
        <v>3090</v>
      </c>
      <c r="H873" s="344" t="s">
        <v>540</v>
      </c>
      <c r="I873" s="337" t="s">
        <v>1332</v>
      </c>
      <c r="J873" s="337"/>
      <c r="K873" s="350">
        <v>5717.74</v>
      </c>
      <c r="L873" s="350">
        <v>-26361.08</v>
      </c>
    </row>
    <row r="874" spans="1:12">
      <c r="A874" s="153">
        <v>360</v>
      </c>
      <c r="B874" s="152">
        <v>100</v>
      </c>
      <c r="C874" s="152">
        <v>20</v>
      </c>
      <c r="D874" s="152">
        <v>0</v>
      </c>
      <c r="E874" s="152">
        <v>0</v>
      </c>
      <c r="F874" s="152">
        <v>0</v>
      </c>
      <c r="G874" s="344" t="s">
        <v>3091</v>
      </c>
      <c r="H874" s="344" t="s">
        <v>557</v>
      </c>
      <c r="I874" s="337" t="s">
        <v>1333</v>
      </c>
      <c r="J874" s="337"/>
      <c r="K874" s="350">
        <v>0</v>
      </c>
      <c r="L874" s="350">
        <v>0</v>
      </c>
    </row>
    <row r="875" spans="1:12">
      <c r="A875" s="153">
        <v>360</v>
      </c>
      <c r="B875" s="152">
        <v>100</v>
      </c>
      <c r="C875" s="152">
        <v>30</v>
      </c>
      <c r="D875" s="152">
        <v>0</v>
      </c>
      <c r="E875" s="152">
        <v>0</v>
      </c>
      <c r="F875" s="152">
        <v>0</v>
      </c>
      <c r="G875" s="344" t="s">
        <v>3092</v>
      </c>
      <c r="H875" s="344" t="s">
        <v>565</v>
      </c>
      <c r="I875" s="337" t="s">
        <v>1334</v>
      </c>
      <c r="J875" s="337"/>
      <c r="K875" s="350">
        <v>-187340.92</v>
      </c>
      <c r="L875" s="350">
        <v>7836.91</v>
      </c>
    </row>
    <row r="876" spans="1:12">
      <c r="A876" s="153">
        <v>360</v>
      </c>
      <c r="B876" s="152">
        <v>100</v>
      </c>
      <c r="C876" s="152">
        <v>40</v>
      </c>
      <c r="D876" s="152">
        <v>0</v>
      </c>
      <c r="E876" s="152">
        <v>0</v>
      </c>
      <c r="F876" s="152">
        <v>0</v>
      </c>
      <c r="G876" s="344" t="s">
        <v>3093</v>
      </c>
      <c r="H876" s="344" t="s">
        <v>573</v>
      </c>
      <c r="I876" s="337" t="s">
        <v>1335</v>
      </c>
      <c r="J876" s="337"/>
      <c r="K876" s="350">
        <v>-784.83</v>
      </c>
      <c r="L876" s="350">
        <v>-274.27</v>
      </c>
    </row>
    <row r="877" spans="1:12">
      <c r="A877" s="153">
        <v>360</v>
      </c>
      <c r="B877" s="152">
        <v>100</v>
      </c>
      <c r="C877" s="152">
        <v>50</v>
      </c>
      <c r="D877" s="152">
        <v>0</v>
      </c>
      <c r="E877" s="152">
        <v>0</v>
      </c>
      <c r="F877" s="152">
        <v>0</v>
      </c>
      <c r="G877" s="344" t="s">
        <v>3094</v>
      </c>
      <c r="H877" s="344" t="s">
        <v>575</v>
      </c>
      <c r="I877" s="337" t="s">
        <v>1336</v>
      </c>
      <c r="J877" s="337"/>
      <c r="K877" s="350">
        <v>0</v>
      </c>
      <c r="L877" s="350">
        <v>0</v>
      </c>
    </row>
    <row r="878" spans="1:12">
      <c r="A878" s="153">
        <v>360</v>
      </c>
      <c r="B878" s="152">
        <v>100</v>
      </c>
      <c r="C878" s="152">
        <v>60</v>
      </c>
      <c r="D878" s="152">
        <v>0</v>
      </c>
      <c r="E878" s="152">
        <v>0</v>
      </c>
      <c r="F878" s="152">
        <v>0</v>
      </c>
      <c r="G878" s="344" t="s">
        <v>3095</v>
      </c>
      <c r="H878" s="344" t="s">
        <v>577</v>
      </c>
      <c r="I878" s="337" t="s">
        <v>1337</v>
      </c>
      <c r="J878" s="337"/>
      <c r="K878" s="350">
        <v>-20348.38</v>
      </c>
      <c r="L878" s="350">
        <v>-26996.57</v>
      </c>
    </row>
    <row r="879" spans="1:12">
      <c r="A879" s="153">
        <v>360</v>
      </c>
      <c r="B879" s="152">
        <v>100</v>
      </c>
      <c r="C879" s="152">
        <v>70</v>
      </c>
      <c r="D879" s="152">
        <v>0</v>
      </c>
      <c r="E879" s="152">
        <v>0</v>
      </c>
      <c r="F879" s="152">
        <v>0</v>
      </c>
      <c r="G879" s="344" t="s">
        <v>3096</v>
      </c>
      <c r="H879" s="344" t="s">
        <v>579</v>
      </c>
      <c r="I879" s="337" t="s">
        <v>1338</v>
      </c>
      <c r="J879" s="337"/>
      <c r="K879" s="350">
        <v>0</v>
      </c>
      <c r="L879" s="350">
        <v>0</v>
      </c>
    </row>
    <row r="880" spans="1:12">
      <c r="A880" s="153">
        <v>360</v>
      </c>
      <c r="B880" s="152">
        <v>100</v>
      </c>
      <c r="C880" s="152">
        <v>80</v>
      </c>
      <c r="D880" s="152">
        <v>0</v>
      </c>
      <c r="E880" s="152">
        <v>0</v>
      </c>
      <c r="F880" s="152">
        <v>0</v>
      </c>
      <c r="G880" s="344" t="s">
        <v>3097</v>
      </c>
      <c r="H880" s="344" t="s">
        <v>591</v>
      </c>
      <c r="I880" s="337" t="s">
        <v>1339</v>
      </c>
      <c r="J880" s="337"/>
      <c r="K880" s="350">
        <v>-18701.11</v>
      </c>
      <c r="L880" s="350">
        <v>-17420.82</v>
      </c>
    </row>
    <row r="881" spans="1:12">
      <c r="A881" s="153">
        <v>360</v>
      </c>
      <c r="B881" s="152">
        <v>200</v>
      </c>
      <c r="C881" s="152">
        <v>0</v>
      </c>
      <c r="D881" s="152">
        <v>0</v>
      </c>
      <c r="E881" s="152">
        <v>0</v>
      </c>
      <c r="F881" s="152">
        <v>0</v>
      </c>
      <c r="G881" s="344" t="s">
        <v>3098</v>
      </c>
      <c r="H881" s="344" t="s">
        <v>1340</v>
      </c>
      <c r="I881" s="337" t="s">
        <v>1341</v>
      </c>
      <c r="J881" s="336"/>
      <c r="K881" s="351">
        <v>0</v>
      </c>
      <c r="L881" s="351">
        <v>0</v>
      </c>
    </row>
    <row r="882" spans="1:12">
      <c r="A882" s="153">
        <v>360</v>
      </c>
      <c r="B882" s="152">
        <v>200</v>
      </c>
      <c r="C882" s="152">
        <v>10</v>
      </c>
      <c r="D882" s="339">
        <v>0</v>
      </c>
      <c r="E882" s="339">
        <v>0</v>
      </c>
      <c r="F882" s="339">
        <v>0</v>
      </c>
      <c r="G882" s="361" t="s">
        <v>3099</v>
      </c>
      <c r="H882" s="361" t="s">
        <v>595</v>
      </c>
      <c r="I882" s="337" t="s">
        <v>1342</v>
      </c>
      <c r="J882" s="336"/>
      <c r="K882" s="352">
        <v>-40.32</v>
      </c>
      <c r="L882" s="352">
        <v>0</v>
      </c>
    </row>
    <row r="883" spans="1:12" ht="25.5">
      <c r="A883" s="153">
        <v>360</v>
      </c>
      <c r="B883" s="152">
        <v>200</v>
      </c>
      <c r="C883" s="152">
        <v>20</v>
      </c>
      <c r="D883" s="339">
        <v>0</v>
      </c>
      <c r="E883" s="339">
        <v>0</v>
      </c>
      <c r="F883" s="339">
        <v>0</v>
      </c>
      <c r="G883" s="361" t="s">
        <v>3100</v>
      </c>
      <c r="H883" s="361" t="s">
        <v>597</v>
      </c>
      <c r="I883" s="337" t="s">
        <v>1343</v>
      </c>
      <c r="J883" s="336"/>
      <c r="K883" s="352">
        <v>-518.5</v>
      </c>
      <c r="L883" s="352">
        <v>0</v>
      </c>
    </row>
    <row r="884" spans="1:12">
      <c r="A884" s="153">
        <v>360</v>
      </c>
      <c r="B884" s="152">
        <v>200</v>
      </c>
      <c r="C884" s="152">
        <v>30</v>
      </c>
      <c r="D884" s="339">
        <v>0</v>
      </c>
      <c r="E884" s="339">
        <v>0</v>
      </c>
      <c r="F884" s="339">
        <v>0</v>
      </c>
      <c r="G884" s="361" t="s">
        <v>3101</v>
      </c>
      <c r="H884" s="361" t="s">
        <v>599</v>
      </c>
      <c r="I884" s="337" t="s">
        <v>1344</v>
      </c>
      <c r="J884" s="336"/>
      <c r="K884" s="352">
        <v>0</v>
      </c>
      <c r="L884" s="352">
        <v>0</v>
      </c>
    </row>
    <row r="885" spans="1:12">
      <c r="A885" s="153">
        <v>360</v>
      </c>
      <c r="B885" s="152">
        <v>200</v>
      </c>
      <c r="C885" s="152">
        <v>40</v>
      </c>
      <c r="D885" s="339">
        <v>0</v>
      </c>
      <c r="E885" s="339">
        <v>0</v>
      </c>
      <c r="F885" s="339">
        <v>0</v>
      </c>
      <c r="G885" s="361" t="s">
        <v>3102</v>
      </c>
      <c r="H885" s="361" t="s">
        <v>601</v>
      </c>
      <c r="I885" s="337" t="s">
        <v>1345</v>
      </c>
      <c r="J885" s="336"/>
      <c r="K885" s="352">
        <v>-9917.2199999999993</v>
      </c>
      <c r="L885" s="352">
        <v>-13389.94</v>
      </c>
    </row>
    <row r="886" spans="1:12">
      <c r="A886" s="153">
        <v>360</v>
      </c>
      <c r="B886" s="152">
        <v>200</v>
      </c>
      <c r="C886" s="152">
        <v>50</v>
      </c>
      <c r="D886" s="339">
        <v>0</v>
      </c>
      <c r="E886" s="339">
        <v>0</v>
      </c>
      <c r="F886" s="339">
        <v>0</v>
      </c>
      <c r="G886" s="361" t="s">
        <v>3103</v>
      </c>
      <c r="H886" s="361" t="s">
        <v>606</v>
      </c>
      <c r="I886" s="337" t="s">
        <v>1346</v>
      </c>
      <c r="J886" s="336"/>
      <c r="K886" s="352">
        <v>588.71</v>
      </c>
      <c r="L886" s="352">
        <v>145.71</v>
      </c>
    </row>
    <row r="887" spans="1:12">
      <c r="A887" s="153">
        <v>360</v>
      </c>
      <c r="B887" s="152">
        <v>200</v>
      </c>
      <c r="C887" s="152">
        <v>60</v>
      </c>
      <c r="D887" s="339">
        <v>0</v>
      </c>
      <c r="E887" s="339">
        <v>0</v>
      </c>
      <c r="F887" s="339">
        <v>0</v>
      </c>
      <c r="G887" s="361" t="s">
        <v>3104</v>
      </c>
      <c r="H887" s="361" t="s">
        <v>2100</v>
      </c>
      <c r="I887" s="337" t="s">
        <v>1347</v>
      </c>
      <c r="J887" s="336"/>
      <c r="K887" s="352">
        <v>11649.51</v>
      </c>
      <c r="L887" s="352">
        <v>-6926.18</v>
      </c>
    </row>
    <row r="888" spans="1:12">
      <c r="A888" s="150">
        <v>365</v>
      </c>
      <c r="B888" s="57">
        <v>0</v>
      </c>
      <c r="C888" s="57">
        <v>0</v>
      </c>
      <c r="D888" s="57">
        <v>0</v>
      </c>
      <c r="E888" s="57">
        <v>0</v>
      </c>
      <c r="F888" s="57">
        <v>0</v>
      </c>
      <c r="G888" s="355">
        <v>365</v>
      </c>
      <c r="H888" s="355" t="s">
        <v>1348</v>
      </c>
      <c r="I888" s="57" t="s">
        <v>1349</v>
      </c>
      <c r="J888" s="57"/>
      <c r="K888" s="351">
        <v>0</v>
      </c>
      <c r="L888" s="351">
        <v>0</v>
      </c>
    </row>
    <row r="889" spans="1:12">
      <c r="A889" s="153">
        <v>365</v>
      </c>
      <c r="B889" s="337">
        <v>100</v>
      </c>
      <c r="C889" s="337">
        <v>0</v>
      </c>
      <c r="D889" s="337">
        <v>0</v>
      </c>
      <c r="E889" s="337">
        <v>0</v>
      </c>
      <c r="F889" s="337">
        <v>0</v>
      </c>
      <c r="G889" s="345" t="s">
        <v>3105</v>
      </c>
      <c r="H889" s="345" t="s">
        <v>1350</v>
      </c>
      <c r="I889" s="337" t="s">
        <v>1351</v>
      </c>
      <c r="J889" s="336"/>
      <c r="K889" s="351">
        <v>0</v>
      </c>
      <c r="L889" s="351">
        <v>0</v>
      </c>
    </row>
    <row r="890" spans="1:12">
      <c r="A890" s="153">
        <v>365</v>
      </c>
      <c r="B890" s="337">
        <v>100</v>
      </c>
      <c r="C890" s="152">
        <v>100</v>
      </c>
      <c r="D890" s="152">
        <v>0</v>
      </c>
      <c r="E890" s="152">
        <v>0</v>
      </c>
      <c r="F890" s="152">
        <v>0</v>
      </c>
      <c r="G890" s="344" t="s">
        <v>3106</v>
      </c>
      <c r="H890" s="344" t="s">
        <v>1352</v>
      </c>
      <c r="I890" s="337" t="s">
        <v>1353</v>
      </c>
      <c r="J890" s="337"/>
      <c r="K890" s="350">
        <v>5259.03</v>
      </c>
      <c r="L890" s="350">
        <v>318861.14000000013</v>
      </c>
    </row>
    <row r="891" spans="1:12" ht="25.5">
      <c r="A891" s="153">
        <v>365</v>
      </c>
      <c r="B891" s="337">
        <v>100</v>
      </c>
      <c r="C891" s="152">
        <v>200</v>
      </c>
      <c r="D891" s="152">
        <v>0</v>
      </c>
      <c r="E891" s="152">
        <v>0</v>
      </c>
      <c r="F891" s="152">
        <v>0</v>
      </c>
      <c r="G891" s="344" t="s">
        <v>3107</v>
      </c>
      <c r="H891" s="344" t="s">
        <v>1354</v>
      </c>
      <c r="I891" s="337" t="s">
        <v>1355</v>
      </c>
      <c r="J891" s="337"/>
      <c r="K891" s="350">
        <v>25350.22</v>
      </c>
      <c r="L891" s="350">
        <v>598798.84000000008</v>
      </c>
    </row>
    <row r="892" spans="1:12" ht="25.5">
      <c r="A892" s="153">
        <v>365</v>
      </c>
      <c r="B892" s="337">
        <v>100</v>
      </c>
      <c r="C892" s="152">
        <v>300</v>
      </c>
      <c r="D892" s="152">
        <v>0</v>
      </c>
      <c r="E892" s="152">
        <v>0</v>
      </c>
      <c r="F892" s="152">
        <v>0</v>
      </c>
      <c r="G892" s="344" t="s">
        <v>3108</v>
      </c>
      <c r="H892" s="344" t="s">
        <v>1356</v>
      </c>
      <c r="I892" s="337" t="s">
        <v>1357</v>
      </c>
      <c r="J892" s="337"/>
      <c r="K892" s="350">
        <v>0</v>
      </c>
      <c r="L892" s="350">
        <v>0</v>
      </c>
    </row>
    <row r="893" spans="1:12" ht="25.5">
      <c r="A893" s="153">
        <v>365</v>
      </c>
      <c r="B893" s="337">
        <v>100</v>
      </c>
      <c r="C893" s="152">
        <v>400</v>
      </c>
      <c r="D893" s="152">
        <v>0</v>
      </c>
      <c r="E893" s="152">
        <v>0</v>
      </c>
      <c r="F893" s="152">
        <v>0</v>
      </c>
      <c r="G893" s="344" t="s">
        <v>3109</v>
      </c>
      <c r="H893" s="344" t="s">
        <v>1358</v>
      </c>
      <c r="I893" s="337" t="s">
        <v>1359</v>
      </c>
      <c r="J893" s="337"/>
      <c r="K893" s="350">
        <v>0</v>
      </c>
      <c r="L893" s="350">
        <v>0</v>
      </c>
    </row>
    <row r="894" spans="1:12">
      <c r="A894" s="153">
        <v>365</v>
      </c>
      <c r="B894" s="337">
        <v>100</v>
      </c>
      <c r="C894" s="152">
        <v>450</v>
      </c>
      <c r="D894" s="152">
        <v>0</v>
      </c>
      <c r="E894" s="152">
        <v>0</v>
      </c>
      <c r="F894" s="152">
        <v>0</v>
      </c>
      <c r="G894" s="344" t="s">
        <v>3110</v>
      </c>
      <c r="H894" s="344" t="s">
        <v>1360</v>
      </c>
      <c r="I894" s="337" t="s">
        <v>1361</v>
      </c>
      <c r="J894" s="336"/>
      <c r="K894" s="352">
        <v>0</v>
      </c>
      <c r="L894" s="352">
        <v>0</v>
      </c>
    </row>
    <row r="895" spans="1:12">
      <c r="A895" s="153">
        <v>365</v>
      </c>
      <c r="B895" s="337">
        <v>100</v>
      </c>
      <c r="C895" s="337">
        <v>500</v>
      </c>
      <c r="D895" s="337">
        <v>0</v>
      </c>
      <c r="E895" s="337">
        <v>0</v>
      </c>
      <c r="F895" s="337">
        <v>0</v>
      </c>
      <c r="G895" s="345" t="s">
        <v>3111</v>
      </c>
      <c r="H895" s="345" t="s">
        <v>1362</v>
      </c>
      <c r="I895" s="337" t="s">
        <v>1363</v>
      </c>
      <c r="J895" s="336"/>
      <c r="K895" s="351">
        <v>0</v>
      </c>
      <c r="L895" s="351">
        <v>0</v>
      </c>
    </row>
    <row r="896" spans="1:12">
      <c r="A896" s="153">
        <v>365</v>
      </c>
      <c r="B896" s="337">
        <v>100</v>
      </c>
      <c r="C896" s="337">
        <v>500</v>
      </c>
      <c r="D896" s="152">
        <v>100</v>
      </c>
      <c r="E896" s="152">
        <v>0</v>
      </c>
      <c r="F896" s="152">
        <v>0</v>
      </c>
      <c r="G896" s="361" t="s">
        <v>3112</v>
      </c>
      <c r="H896" s="361" t="s">
        <v>1364</v>
      </c>
      <c r="I896" s="337"/>
      <c r="J896" s="336"/>
      <c r="K896" s="365">
        <v>0</v>
      </c>
      <c r="L896" s="365">
        <v>0</v>
      </c>
    </row>
    <row r="897" spans="1:12">
      <c r="A897" s="153">
        <v>365</v>
      </c>
      <c r="B897" s="337">
        <v>100</v>
      </c>
      <c r="C897" s="337">
        <v>500</v>
      </c>
      <c r="D897" s="152">
        <v>200</v>
      </c>
      <c r="E897" s="152">
        <v>0</v>
      </c>
      <c r="F897" s="152">
        <v>0</v>
      </c>
      <c r="G897" s="344" t="s">
        <v>3113</v>
      </c>
      <c r="H897" s="344" t="s">
        <v>1365</v>
      </c>
      <c r="I897" s="337"/>
      <c r="J897" s="336"/>
      <c r="K897" s="365">
        <v>0</v>
      </c>
      <c r="L897" s="365">
        <v>0</v>
      </c>
    </row>
    <row r="898" spans="1:12">
      <c r="A898" s="153">
        <v>365</v>
      </c>
      <c r="B898" s="337">
        <v>100</v>
      </c>
      <c r="C898" s="337">
        <v>500</v>
      </c>
      <c r="D898" s="152">
        <v>900</v>
      </c>
      <c r="E898" s="152">
        <v>0</v>
      </c>
      <c r="F898" s="152">
        <v>0</v>
      </c>
      <c r="G898" s="344" t="s">
        <v>3114</v>
      </c>
      <c r="H898" s="344" t="s">
        <v>1362</v>
      </c>
      <c r="I898" s="337"/>
      <c r="J898" s="336"/>
      <c r="K898" s="365">
        <v>0</v>
      </c>
      <c r="L898" s="365">
        <v>0</v>
      </c>
    </row>
    <row r="899" spans="1:12">
      <c r="A899" s="153">
        <v>365</v>
      </c>
      <c r="B899" s="337">
        <v>100</v>
      </c>
      <c r="C899" s="152">
        <v>600</v>
      </c>
      <c r="D899" s="152">
        <v>0</v>
      </c>
      <c r="E899" s="152">
        <v>0</v>
      </c>
      <c r="F899" s="152">
        <v>0</v>
      </c>
      <c r="G899" s="344" t="s">
        <v>3115</v>
      </c>
      <c r="H899" s="344" t="s">
        <v>1366</v>
      </c>
      <c r="I899" s="337" t="s">
        <v>1367</v>
      </c>
      <c r="J899" s="336"/>
      <c r="K899" s="365">
        <v>0</v>
      </c>
      <c r="L899" s="365">
        <v>0</v>
      </c>
    </row>
    <row r="900" spans="1:12">
      <c r="A900" s="153">
        <v>365</v>
      </c>
      <c r="B900" s="337">
        <v>200</v>
      </c>
      <c r="C900" s="337">
        <v>0</v>
      </c>
      <c r="D900" s="337">
        <v>0</v>
      </c>
      <c r="E900" s="337">
        <v>0</v>
      </c>
      <c r="F900" s="337">
        <v>0</v>
      </c>
      <c r="G900" s="345" t="s">
        <v>3116</v>
      </c>
      <c r="H900" s="345" t="s">
        <v>1368</v>
      </c>
      <c r="I900" s="337" t="s">
        <v>1369</v>
      </c>
      <c r="J900" s="336"/>
      <c r="K900" s="351">
        <v>0</v>
      </c>
      <c r="L900" s="351">
        <v>0</v>
      </c>
    </row>
    <row r="901" spans="1:12" ht="25.5">
      <c r="A901" s="153">
        <v>365</v>
      </c>
      <c r="B901" s="337">
        <v>200</v>
      </c>
      <c r="C901" s="152">
        <v>100</v>
      </c>
      <c r="D901" s="152">
        <v>0</v>
      </c>
      <c r="E901" s="152">
        <v>0</v>
      </c>
      <c r="F901" s="152">
        <v>0</v>
      </c>
      <c r="G901" s="344" t="s">
        <v>3117</v>
      </c>
      <c r="H901" s="344" t="s">
        <v>1370</v>
      </c>
      <c r="I901" s="337"/>
      <c r="J901" s="337"/>
      <c r="K901" s="357">
        <v>0</v>
      </c>
      <c r="L901" s="357">
        <v>0</v>
      </c>
    </row>
    <row r="902" spans="1:12">
      <c r="A902" s="153">
        <v>365</v>
      </c>
      <c r="B902" s="337">
        <v>200</v>
      </c>
      <c r="C902" s="152">
        <v>200</v>
      </c>
      <c r="D902" s="152">
        <v>0</v>
      </c>
      <c r="E902" s="152">
        <v>0</v>
      </c>
      <c r="F902" s="152">
        <v>0</v>
      </c>
      <c r="G902" s="344" t="s">
        <v>3118</v>
      </c>
      <c r="H902" s="344" t="s">
        <v>1371</v>
      </c>
      <c r="I902" s="337"/>
      <c r="J902" s="337"/>
      <c r="K902" s="357">
        <v>0</v>
      </c>
      <c r="L902" s="357">
        <v>0</v>
      </c>
    </row>
    <row r="903" spans="1:12">
      <c r="A903" s="153">
        <v>365</v>
      </c>
      <c r="B903" s="337">
        <v>300</v>
      </c>
      <c r="C903" s="337">
        <v>0</v>
      </c>
      <c r="D903" s="337">
        <v>0</v>
      </c>
      <c r="E903" s="337">
        <v>0</v>
      </c>
      <c r="F903" s="337">
        <v>0</v>
      </c>
      <c r="G903" s="345" t="s">
        <v>3119</v>
      </c>
      <c r="H903" s="345" t="s">
        <v>1372</v>
      </c>
      <c r="I903" s="337" t="s">
        <v>1373</v>
      </c>
      <c r="J903" s="336"/>
      <c r="K903" s="351">
        <v>0</v>
      </c>
      <c r="L903" s="351">
        <v>0</v>
      </c>
    </row>
    <row r="904" spans="1:12" ht="38.25">
      <c r="A904" s="153">
        <v>365</v>
      </c>
      <c r="B904" s="337">
        <v>300</v>
      </c>
      <c r="C904" s="152">
        <v>50</v>
      </c>
      <c r="D904" s="337">
        <v>0</v>
      </c>
      <c r="E904" s="337">
        <v>0</v>
      </c>
      <c r="F904" s="337">
        <v>0</v>
      </c>
      <c r="G904" s="344" t="s">
        <v>3120</v>
      </c>
      <c r="H904" s="344" t="s">
        <v>1374</v>
      </c>
      <c r="I904" s="337" t="s">
        <v>1375</v>
      </c>
      <c r="J904" s="337"/>
      <c r="K904" s="350">
        <v>0</v>
      </c>
      <c r="L904" s="350">
        <v>1899013.25</v>
      </c>
    </row>
    <row r="905" spans="1:12" ht="25.5">
      <c r="A905" s="153">
        <v>365</v>
      </c>
      <c r="B905" s="337">
        <v>300</v>
      </c>
      <c r="C905" s="152">
        <v>100</v>
      </c>
      <c r="D905" s="152">
        <v>0</v>
      </c>
      <c r="E905" s="152">
        <v>0</v>
      </c>
      <c r="F905" s="152">
        <v>0</v>
      </c>
      <c r="G905" s="344" t="s">
        <v>3121</v>
      </c>
      <c r="H905" s="344" t="s">
        <v>1376</v>
      </c>
      <c r="I905" s="337" t="s">
        <v>1377</v>
      </c>
      <c r="J905" s="337"/>
      <c r="K905" s="350">
        <v>0</v>
      </c>
      <c r="L905" s="350">
        <v>22412</v>
      </c>
    </row>
    <row r="906" spans="1:12" ht="25.5">
      <c r="A906" s="153">
        <v>365</v>
      </c>
      <c r="B906" s="337">
        <v>300</v>
      </c>
      <c r="C906" s="152">
        <v>200</v>
      </c>
      <c r="D906" s="152">
        <v>0</v>
      </c>
      <c r="E906" s="152">
        <v>0</v>
      </c>
      <c r="F906" s="152">
        <v>0</v>
      </c>
      <c r="G906" s="344" t="s">
        <v>3122</v>
      </c>
      <c r="H906" s="344" t="s">
        <v>1378</v>
      </c>
      <c r="I906" s="337" t="s">
        <v>1379</v>
      </c>
      <c r="J906" s="337"/>
      <c r="K906" s="350">
        <v>1236599.32</v>
      </c>
      <c r="L906" s="350">
        <v>2255302.59</v>
      </c>
    </row>
    <row r="907" spans="1:12" ht="25.5">
      <c r="A907" s="153">
        <v>365</v>
      </c>
      <c r="B907" s="337">
        <v>300</v>
      </c>
      <c r="C907" s="152">
        <v>300</v>
      </c>
      <c r="D907" s="152">
        <v>0</v>
      </c>
      <c r="E907" s="152">
        <v>0</v>
      </c>
      <c r="F907" s="152">
        <v>0</v>
      </c>
      <c r="G907" s="344" t="s">
        <v>3123</v>
      </c>
      <c r="H907" s="344" t="s">
        <v>1380</v>
      </c>
      <c r="I907" s="337" t="s">
        <v>1381</v>
      </c>
      <c r="J907" s="337"/>
      <c r="K907" s="350">
        <v>2716219.22</v>
      </c>
      <c r="L907" s="350">
        <v>2627049</v>
      </c>
    </row>
    <row r="908" spans="1:12" ht="25.5">
      <c r="A908" s="153">
        <v>365</v>
      </c>
      <c r="B908" s="337">
        <v>300</v>
      </c>
      <c r="C908" s="337">
        <v>400</v>
      </c>
      <c r="D908" s="337">
        <v>0</v>
      </c>
      <c r="E908" s="337">
        <v>0</v>
      </c>
      <c r="F908" s="337">
        <v>0</v>
      </c>
      <c r="G908" s="345" t="s">
        <v>3124</v>
      </c>
      <c r="H908" s="345" t="s">
        <v>1382</v>
      </c>
      <c r="I908" s="337" t="s">
        <v>1383</v>
      </c>
      <c r="J908" s="336"/>
      <c r="K908" s="351">
        <v>0</v>
      </c>
      <c r="L908" s="351">
        <v>0</v>
      </c>
    </row>
    <row r="909" spans="1:12" ht="25.5">
      <c r="A909" s="153">
        <v>365</v>
      </c>
      <c r="B909" s="337">
        <v>300</v>
      </c>
      <c r="C909" s="337">
        <v>400</v>
      </c>
      <c r="D909" s="152">
        <v>100</v>
      </c>
      <c r="E909" s="152">
        <v>0</v>
      </c>
      <c r="F909" s="152">
        <v>0</v>
      </c>
      <c r="G909" s="344" t="s">
        <v>3125</v>
      </c>
      <c r="H909" s="344" t="s">
        <v>1384</v>
      </c>
      <c r="I909" s="337"/>
      <c r="J909" s="337"/>
      <c r="K909" s="357">
        <v>38117.870000000003</v>
      </c>
      <c r="L909" s="357">
        <v>9152.5</v>
      </c>
    </row>
    <row r="910" spans="1:12" ht="25.5">
      <c r="A910" s="153">
        <v>365</v>
      </c>
      <c r="B910" s="337">
        <v>300</v>
      </c>
      <c r="C910" s="337">
        <v>400</v>
      </c>
      <c r="D910" s="152">
        <v>200</v>
      </c>
      <c r="E910" s="152">
        <v>0</v>
      </c>
      <c r="F910" s="152">
        <v>0</v>
      </c>
      <c r="G910" s="344" t="s">
        <v>3126</v>
      </c>
      <c r="H910" s="344" t="s">
        <v>1385</v>
      </c>
      <c r="I910" s="337"/>
      <c r="J910" s="337"/>
      <c r="K910" s="357">
        <v>53045.33</v>
      </c>
      <c r="L910" s="357">
        <v>1714377.67</v>
      </c>
    </row>
    <row r="911" spans="1:12" ht="25.5">
      <c r="A911" s="153">
        <v>365</v>
      </c>
      <c r="B911" s="337">
        <v>300</v>
      </c>
      <c r="C911" s="337">
        <v>500</v>
      </c>
      <c r="D911" s="152">
        <v>0</v>
      </c>
      <c r="E911" s="152">
        <v>0</v>
      </c>
      <c r="F911" s="152">
        <v>0</v>
      </c>
      <c r="G911" s="344" t="s">
        <v>3127</v>
      </c>
      <c r="H911" s="344" t="s">
        <v>1386</v>
      </c>
      <c r="I911" s="337" t="s">
        <v>1387</v>
      </c>
      <c r="J911" s="337"/>
      <c r="K911" s="357">
        <v>76057.600000000006</v>
      </c>
      <c r="L911" s="357">
        <v>94216.06</v>
      </c>
    </row>
    <row r="912" spans="1:12">
      <c r="A912" s="153">
        <v>365</v>
      </c>
      <c r="B912" s="337">
        <v>400</v>
      </c>
      <c r="C912" s="337">
        <v>0</v>
      </c>
      <c r="D912" s="152">
        <v>0</v>
      </c>
      <c r="E912" s="152">
        <v>0</v>
      </c>
      <c r="F912" s="152">
        <v>0</v>
      </c>
      <c r="G912" s="345" t="s">
        <v>3128</v>
      </c>
      <c r="H912" s="345" t="s">
        <v>1388</v>
      </c>
      <c r="I912" s="337" t="s">
        <v>1389</v>
      </c>
      <c r="J912" s="336"/>
      <c r="K912" s="351">
        <v>0</v>
      </c>
      <c r="L912" s="351">
        <v>0</v>
      </c>
    </row>
    <row r="913" spans="1:12">
      <c r="A913" s="153">
        <v>365</v>
      </c>
      <c r="B913" s="337">
        <v>400</v>
      </c>
      <c r="C913" s="152">
        <v>200</v>
      </c>
      <c r="D913" s="152">
        <v>0</v>
      </c>
      <c r="E913" s="152">
        <v>0</v>
      </c>
      <c r="F913" s="152">
        <v>0</v>
      </c>
      <c r="G913" s="344" t="s">
        <v>3129</v>
      </c>
      <c r="H913" s="344" t="s">
        <v>1390</v>
      </c>
      <c r="I913" s="337" t="s">
        <v>1391</v>
      </c>
      <c r="J913" s="337"/>
      <c r="K913" s="350">
        <v>0</v>
      </c>
      <c r="L913" s="350">
        <v>0</v>
      </c>
    </row>
    <row r="914" spans="1:12">
      <c r="A914" s="153">
        <v>365</v>
      </c>
      <c r="B914" s="337">
        <v>400</v>
      </c>
      <c r="C914" s="152">
        <v>300</v>
      </c>
      <c r="D914" s="152">
        <v>0</v>
      </c>
      <c r="E914" s="152">
        <v>0</v>
      </c>
      <c r="F914" s="152">
        <v>0</v>
      </c>
      <c r="G914" s="344" t="s">
        <v>3130</v>
      </c>
      <c r="H914" s="344" t="s">
        <v>1392</v>
      </c>
      <c r="I914" s="337" t="s">
        <v>1393</v>
      </c>
      <c r="J914" s="337"/>
      <c r="K914" s="350">
        <v>0</v>
      </c>
      <c r="L914" s="350">
        <v>0</v>
      </c>
    </row>
    <row r="915" spans="1:12">
      <c r="A915" s="153">
        <v>365</v>
      </c>
      <c r="B915" s="337">
        <v>400</v>
      </c>
      <c r="C915" s="152">
        <v>400</v>
      </c>
      <c r="D915" s="152">
        <v>0</v>
      </c>
      <c r="E915" s="152">
        <v>0</v>
      </c>
      <c r="F915" s="152">
        <v>0</v>
      </c>
      <c r="G915" s="344" t="s">
        <v>3131</v>
      </c>
      <c r="H915" s="344" t="s">
        <v>1394</v>
      </c>
      <c r="I915" s="337" t="s">
        <v>1395</v>
      </c>
      <c r="J915" s="337"/>
      <c r="K915" s="350">
        <v>947993.97</v>
      </c>
      <c r="L915" s="350">
        <v>487593.16</v>
      </c>
    </row>
    <row r="916" spans="1:12">
      <c r="A916" s="153">
        <v>365</v>
      </c>
      <c r="B916" s="337">
        <v>400</v>
      </c>
      <c r="C916" s="152">
        <v>500</v>
      </c>
      <c r="D916" s="152">
        <v>0</v>
      </c>
      <c r="E916" s="152">
        <v>0</v>
      </c>
      <c r="F916" s="152">
        <v>0</v>
      </c>
      <c r="G916" s="344" t="s">
        <v>3132</v>
      </c>
      <c r="H916" s="344" t="s">
        <v>1396</v>
      </c>
      <c r="I916" s="337" t="s">
        <v>1397</v>
      </c>
      <c r="J916" s="337"/>
      <c r="K916" s="350">
        <v>72777.84</v>
      </c>
      <c r="L916" s="350">
        <v>39999.620000000003</v>
      </c>
    </row>
    <row r="917" spans="1:12">
      <c r="A917" s="153">
        <v>365</v>
      </c>
      <c r="B917" s="337">
        <v>400</v>
      </c>
      <c r="C917" s="152">
        <v>600</v>
      </c>
      <c r="D917" s="152">
        <v>0</v>
      </c>
      <c r="E917" s="152">
        <v>0</v>
      </c>
      <c r="F917" s="152">
        <v>0</v>
      </c>
      <c r="G917" s="344" t="s">
        <v>3133</v>
      </c>
      <c r="H917" s="344" t="s">
        <v>1398</v>
      </c>
      <c r="I917" s="337" t="s">
        <v>1399</v>
      </c>
      <c r="J917" s="337"/>
      <c r="K917" s="350">
        <v>0</v>
      </c>
      <c r="L917" s="350">
        <v>0</v>
      </c>
    </row>
    <row r="918" spans="1:12">
      <c r="A918" s="153">
        <v>365</v>
      </c>
      <c r="B918" s="337">
        <v>400</v>
      </c>
      <c r="C918" s="152">
        <v>610</v>
      </c>
      <c r="D918" s="340">
        <v>0</v>
      </c>
      <c r="E918" s="340">
        <v>0</v>
      </c>
      <c r="F918" s="340">
        <v>0</v>
      </c>
      <c r="G918" s="344" t="s">
        <v>3134</v>
      </c>
      <c r="H918" s="344" t="s">
        <v>1400</v>
      </c>
      <c r="I918" s="337" t="s">
        <v>1401</v>
      </c>
      <c r="J918" s="337"/>
      <c r="K918" s="350">
        <v>0</v>
      </c>
      <c r="L918" s="350">
        <v>0</v>
      </c>
    </row>
    <row r="919" spans="1:12">
      <c r="A919" s="153">
        <v>365</v>
      </c>
      <c r="B919" s="337">
        <v>400</v>
      </c>
      <c r="C919" s="152">
        <v>620</v>
      </c>
      <c r="D919" s="340">
        <v>0</v>
      </c>
      <c r="E919" s="340">
        <v>0</v>
      </c>
      <c r="F919" s="340">
        <v>0</v>
      </c>
      <c r="G919" s="344" t="s">
        <v>3135</v>
      </c>
      <c r="H919" s="344" t="s">
        <v>1402</v>
      </c>
      <c r="I919" s="337" t="s">
        <v>1403</v>
      </c>
      <c r="J919" s="337"/>
      <c r="K919" s="350">
        <v>54270.7</v>
      </c>
      <c r="L919" s="350">
        <v>72360.929999999993</v>
      </c>
    </row>
    <row r="920" spans="1:12">
      <c r="A920" s="153">
        <v>365</v>
      </c>
      <c r="B920" s="337">
        <v>400</v>
      </c>
      <c r="C920" s="152">
        <v>630</v>
      </c>
      <c r="D920" s="340">
        <v>0</v>
      </c>
      <c r="E920" s="340">
        <v>0</v>
      </c>
      <c r="F920" s="340">
        <v>0</v>
      </c>
      <c r="G920" s="344" t="s">
        <v>3136</v>
      </c>
      <c r="H920" s="344" t="s">
        <v>1404</v>
      </c>
      <c r="I920" s="337" t="s">
        <v>1405</v>
      </c>
      <c r="J920" s="337"/>
      <c r="K920" s="350">
        <v>0</v>
      </c>
      <c r="L920" s="350">
        <v>0</v>
      </c>
    </row>
    <row r="921" spans="1:12">
      <c r="A921" s="153">
        <v>365</v>
      </c>
      <c r="B921" s="337">
        <v>400</v>
      </c>
      <c r="C921" s="152">
        <v>640</v>
      </c>
      <c r="D921" s="340">
        <v>0</v>
      </c>
      <c r="E921" s="340">
        <v>0</v>
      </c>
      <c r="F921" s="340">
        <v>0</v>
      </c>
      <c r="G921" s="344" t="s">
        <v>3137</v>
      </c>
      <c r="H921" s="344" t="s">
        <v>1406</v>
      </c>
      <c r="I921" s="337" t="s">
        <v>1407</v>
      </c>
      <c r="J921" s="337"/>
      <c r="K921" s="350">
        <v>126932.31</v>
      </c>
      <c r="L921" s="350">
        <v>0</v>
      </c>
    </row>
    <row r="922" spans="1:12">
      <c r="A922" s="153">
        <v>365</v>
      </c>
      <c r="B922" s="337">
        <v>400</v>
      </c>
      <c r="C922" s="341">
        <v>700</v>
      </c>
      <c r="D922" s="337">
        <v>0</v>
      </c>
      <c r="E922" s="337">
        <v>0</v>
      </c>
      <c r="F922" s="337">
        <v>0</v>
      </c>
      <c r="G922" s="345" t="s">
        <v>3138</v>
      </c>
      <c r="H922" s="345" t="s">
        <v>1388</v>
      </c>
      <c r="I922" s="337" t="s">
        <v>1408</v>
      </c>
      <c r="J922" s="336"/>
      <c r="K922" s="352">
        <v>0</v>
      </c>
      <c r="L922" s="352">
        <v>165000</v>
      </c>
    </row>
    <row r="923" spans="1:12">
      <c r="A923" s="150">
        <v>370</v>
      </c>
      <c r="B923" s="57">
        <v>0</v>
      </c>
      <c r="C923" s="342">
        <v>0</v>
      </c>
      <c r="D923" s="57">
        <v>0</v>
      </c>
      <c r="E923" s="57">
        <v>0</v>
      </c>
      <c r="F923" s="57">
        <v>0</v>
      </c>
      <c r="G923" s="355">
        <v>370</v>
      </c>
      <c r="H923" s="355" t="s">
        <v>1409</v>
      </c>
      <c r="I923" s="57" t="s">
        <v>1410</v>
      </c>
      <c r="J923" s="57"/>
      <c r="K923" s="351">
        <v>0</v>
      </c>
      <c r="L923" s="351">
        <v>0</v>
      </c>
    </row>
    <row r="924" spans="1:12">
      <c r="A924" s="155">
        <v>370</v>
      </c>
      <c r="B924" s="338">
        <v>100</v>
      </c>
      <c r="C924" s="338">
        <v>0</v>
      </c>
      <c r="D924" s="338">
        <v>0</v>
      </c>
      <c r="E924" s="338">
        <v>0</v>
      </c>
      <c r="F924" s="338">
        <v>0</v>
      </c>
      <c r="G924" s="344" t="s">
        <v>3139</v>
      </c>
      <c r="H924" s="344" t="s">
        <v>1411</v>
      </c>
      <c r="I924" s="154" t="s">
        <v>1412</v>
      </c>
      <c r="J924" s="154"/>
      <c r="K924" s="350">
        <v>0</v>
      </c>
      <c r="L924" s="350">
        <v>0</v>
      </c>
    </row>
    <row r="925" spans="1:12">
      <c r="A925" s="155">
        <v>370</v>
      </c>
      <c r="B925" s="338">
        <v>200</v>
      </c>
      <c r="C925" s="338">
        <v>0</v>
      </c>
      <c r="D925" s="338">
        <v>0</v>
      </c>
      <c r="E925" s="338">
        <v>0</v>
      </c>
      <c r="F925" s="338">
        <v>0</v>
      </c>
      <c r="G925" s="344" t="s">
        <v>3140</v>
      </c>
      <c r="H925" s="344" t="s">
        <v>1413</v>
      </c>
      <c r="I925" s="154" t="s">
        <v>1414</v>
      </c>
      <c r="J925" s="154"/>
      <c r="K925" s="350">
        <v>0</v>
      </c>
      <c r="L925" s="350">
        <v>0</v>
      </c>
    </row>
    <row r="926" spans="1:12">
      <c r="A926" s="155">
        <v>370</v>
      </c>
      <c r="B926" s="154">
        <v>300</v>
      </c>
      <c r="C926" s="154">
        <v>0</v>
      </c>
      <c r="D926" s="154">
        <v>0</v>
      </c>
      <c r="E926" s="154">
        <v>0</v>
      </c>
      <c r="F926" s="154">
        <v>0</v>
      </c>
      <c r="G926" s="345" t="s">
        <v>3141</v>
      </c>
      <c r="H926" s="345" t="s">
        <v>1415</v>
      </c>
      <c r="I926" s="154" t="s">
        <v>1416</v>
      </c>
      <c r="J926" s="366"/>
      <c r="K926" s="351">
        <v>0</v>
      </c>
      <c r="L926" s="351">
        <v>0</v>
      </c>
    </row>
    <row r="927" spans="1:12">
      <c r="A927" s="155">
        <v>370</v>
      </c>
      <c r="B927" s="154">
        <v>300</v>
      </c>
      <c r="C927" s="338">
        <v>100</v>
      </c>
      <c r="D927" s="338">
        <v>0</v>
      </c>
      <c r="E927" s="338">
        <v>0</v>
      </c>
      <c r="F927" s="338">
        <v>0</v>
      </c>
      <c r="G927" s="359" t="s">
        <v>3142</v>
      </c>
      <c r="H927" s="359" t="s">
        <v>470</v>
      </c>
      <c r="I927" s="154"/>
      <c r="J927" s="154"/>
      <c r="K927" s="360">
        <v>0</v>
      </c>
      <c r="L927" s="360">
        <v>0</v>
      </c>
    </row>
    <row r="928" spans="1:12">
      <c r="A928" s="155">
        <v>370</v>
      </c>
      <c r="B928" s="154">
        <v>300</v>
      </c>
      <c r="C928" s="338">
        <v>900</v>
      </c>
      <c r="D928" s="338">
        <v>0</v>
      </c>
      <c r="E928" s="338">
        <v>0</v>
      </c>
      <c r="F928" s="338">
        <v>0</v>
      </c>
      <c r="G928" s="359" t="s">
        <v>3143</v>
      </c>
      <c r="H928" s="359" t="s">
        <v>1415</v>
      </c>
      <c r="I928" s="154"/>
      <c r="J928" s="154"/>
      <c r="K928" s="360">
        <v>0</v>
      </c>
      <c r="L928" s="360">
        <v>0</v>
      </c>
    </row>
    <row r="929" spans="1:12">
      <c r="A929" s="150">
        <v>375</v>
      </c>
      <c r="B929" s="57">
        <v>0</v>
      </c>
      <c r="C929" s="57">
        <v>0</v>
      </c>
      <c r="D929" s="57">
        <v>0</v>
      </c>
      <c r="E929" s="57">
        <v>0</v>
      </c>
      <c r="F929" s="57">
        <v>0</v>
      </c>
      <c r="G929" s="355">
        <v>375</v>
      </c>
      <c r="H929" s="355" t="s">
        <v>1417</v>
      </c>
      <c r="I929" s="57"/>
      <c r="J929" s="57"/>
      <c r="K929" s="351">
        <v>0</v>
      </c>
      <c r="L929" s="351">
        <v>0</v>
      </c>
    </row>
    <row r="930" spans="1:12">
      <c r="A930" s="155">
        <v>375</v>
      </c>
      <c r="B930" s="338">
        <v>100</v>
      </c>
      <c r="C930" s="338">
        <v>0</v>
      </c>
      <c r="D930" s="338">
        <v>0</v>
      </c>
      <c r="E930" s="338">
        <v>0</v>
      </c>
      <c r="F930" s="338">
        <v>0</v>
      </c>
      <c r="G930" s="344" t="s">
        <v>3144</v>
      </c>
      <c r="H930" s="344" t="s">
        <v>1418</v>
      </c>
      <c r="I930" s="154" t="s">
        <v>1419</v>
      </c>
      <c r="J930" s="154"/>
      <c r="K930" s="350">
        <v>0</v>
      </c>
      <c r="L930" s="350">
        <v>0</v>
      </c>
    </row>
    <row r="931" spans="1:12">
      <c r="A931" s="155">
        <v>375</v>
      </c>
      <c r="B931" s="338">
        <v>200</v>
      </c>
      <c r="C931" s="338">
        <v>0</v>
      </c>
      <c r="D931" s="338">
        <v>0</v>
      </c>
      <c r="E931" s="338">
        <v>0</v>
      </c>
      <c r="F931" s="338">
        <v>0</v>
      </c>
      <c r="G931" s="344" t="s">
        <v>3145</v>
      </c>
      <c r="H931" s="344" t="s">
        <v>1420</v>
      </c>
      <c r="I931" s="154" t="s">
        <v>1421</v>
      </c>
      <c r="J931" s="154"/>
      <c r="K931" s="350">
        <v>0</v>
      </c>
      <c r="L931" s="350">
        <v>0</v>
      </c>
    </row>
    <row r="932" spans="1:12" ht="25.5">
      <c r="A932" s="367">
        <v>380</v>
      </c>
      <c r="B932" s="152">
        <v>0</v>
      </c>
      <c r="C932" s="152">
        <v>0</v>
      </c>
      <c r="D932" s="152">
        <v>0</v>
      </c>
      <c r="E932" s="152">
        <v>0</v>
      </c>
      <c r="F932" s="152">
        <v>0</v>
      </c>
      <c r="G932" s="344" t="s">
        <v>3146</v>
      </c>
      <c r="H932" s="344" t="s">
        <v>1422</v>
      </c>
      <c r="I932" s="339" t="s">
        <v>1423</v>
      </c>
      <c r="J932" s="339"/>
      <c r="K932" s="352">
        <v>0</v>
      </c>
      <c r="L932" s="352">
        <v>0</v>
      </c>
    </row>
    <row r="933" spans="1:12">
      <c r="A933" s="150">
        <v>390</v>
      </c>
      <c r="B933" s="57">
        <v>0</v>
      </c>
      <c r="C933" s="57">
        <v>0</v>
      </c>
      <c r="D933" s="57">
        <v>0</v>
      </c>
      <c r="E933" s="57">
        <v>0</v>
      </c>
      <c r="F933" s="57">
        <v>0</v>
      </c>
      <c r="G933" s="355">
        <v>390</v>
      </c>
      <c r="H933" s="355" t="s">
        <v>102</v>
      </c>
      <c r="I933" s="57" t="s">
        <v>1424</v>
      </c>
      <c r="J933" s="57"/>
      <c r="K933" s="351">
        <v>0</v>
      </c>
      <c r="L933" s="351">
        <v>0</v>
      </c>
    </row>
    <row r="934" spans="1:12">
      <c r="A934" s="156">
        <v>390</v>
      </c>
      <c r="B934" s="338">
        <v>100</v>
      </c>
      <c r="C934" s="338">
        <v>0</v>
      </c>
      <c r="D934" s="338">
        <v>0</v>
      </c>
      <c r="E934" s="338">
        <v>0</v>
      </c>
      <c r="F934" s="338">
        <v>0</v>
      </c>
      <c r="G934" s="344" t="s">
        <v>3147</v>
      </c>
      <c r="H934" s="344" t="s">
        <v>1425</v>
      </c>
      <c r="I934" s="154" t="s">
        <v>1426</v>
      </c>
      <c r="J934" s="154"/>
      <c r="K934" s="350">
        <v>3390.8</v>
      </c>
      <c r="L934" s="350">
        <v>0</v>
      </c>
    </row>
    <row r="935" spans="1:12">
      <c r="A935" s="155">
        <v>390</v>
      </c>
      <c r="B935" s="154">
        <v>200</v>
      </c>
      <c r="C935" s="154">
        <v>0</v>
      </c>
      <c r="D935" s="154">
        <v>0</v>
      </c>
      <c r="E935" s="154">
        <v>0</v>
      </c>
      <c r="F935" s="154">
        <v>0</v>
      </c>
      <c r="G935" s="345" t="s">
        <v>3148</v>
      </c>
      <c r="H935" s="345" t="s">
        <v>1427</v>
      </c>
      <c r="I935" s="154" t="s">
        <v>1428</v>
      </c>
      <c r="J935" s="366"/>
      <c r="K935" s="351">
        <v>0</v>
      </c>
      <c r="L935" s="351">
        <v>0</v>
      </c>
    </row>
    <row r="936" spans="1:12">
      <c r="A936" s="155">
        <v>390</v>
      </c>
      <c r="B936" s="154">
        <v>200</v>
      </c>
      <c r="C936" s="338">
        <v>100</v>
      </c>
      <c r="D936" s="338">
        <v>0</v>
      </c>
      <c r="E936" s="338">
        <v>0</v>
      </c>
      <c r="F936" s="338">
        <v>0</v>
      </c>
      <c r="G936" s="344" t="s">
        <v>3149</v>
      </c>
      <c r="H936" s="344" t="s">
        <v>1429</v>
      </c>
      <c r="I936" s="154" t="s">
        <v>1430</v>
      </c>
      <c r="J936" s="154"/>
      <c r="K936" s="350">
        <v>0</v>
      </c>
      <c r="L936" s="350">
        <v>0</v>
      </c>
    </row>
    <row r="937" spans="1:12">
      <c r="A937" s="155">
        <v>390</v>
      </c>
      <c r="B937" s="154">
        <v>200</v>
      </c>
      <c r="C937" s="338">
        <v>200</v>
      </c>
      <c r="D937" s="338">
        <v>0</v>
      </c>
      <c r="E937" s="338">
        <v>0</v>
      </c>
      <c r="F937" s="338">
        <v>0</v>
      </c>
      <c r="G937" s="344" t="s">
        <v>3150</v>
      </c>
      <c r="H937" s="344" t="s">
        <v>1431</v>
      </c>
      <c r="I937" s="154" t="s">
        <v>1432</v>
      </c>
      <c r="J937" s="154"/>
      <c r="K937" s="350">
        <v>0</v>
      </c>
      <c r="L937" s="350">
        <v>0</v>
      </c>
    </row>
    <row r="938" spans="1:12">
      <c r="A938" s="155">
        <v>390</v>
      </c>
      <c r="B938" s="154">
        <v>200</v>
      </c>
      <c r="C938" s="154">
        <v>300</v>
      </c>
      <c r="D938" s="154">
        <v>0</v>
      </c>
      <c r="E938" s="154">
        <v>0</v>
      </c>
      <c r="F938" s="154">
        <v>0</v>
      </c>
      <c r="G938" s="345" t="s">
        <v>3151</v>
      </c>
      <c r="H938" s="345" t="s">
        <v>1433</v>
      </c>
      <c r="I938" s="154" t="s">
        <v>1434</v>
      </c>
      <c r="J938" s="366"/>
      <c r="K938" s="351">
        <v>0</v>
      </c>
      <c r="L938" s="351">
        <v>0</v>
      </c>
    </row>
    <row r="939" spans="1:12" ht="25.5">
      <c r="A939" s="155">
        <v>390</v>
      </c>
      <c r="B939" s="154">
        <v>200</v>
      </c>
      <c r="C939" s="154">
        <v>300</v>
      </c>
      <c r="D939" s="154">
        <v>100</v>
      </c>
      <c r="E939" s="154">
        <v>0</v>
      </c>
      <c r="F939" s="154">
        <v>0</v>
      </c>
      <c r="G939" s="345" t="s">
        <v>3152</v>
      </c>
      <c r="H939" s="345" t="s">
        <v>1435</v>
      </c>
      <c r="I939" s="154" t="s">
        <v>1436</v>
      </c>
      <c r="J939" s="366" t="s">
        <v>1522</v>
      </c>
      <c r="K939" s="351">
        <v>0</v>
      </c>
      <c r="L939" s="351">
        <v>0</v>
      </c>
    </row>
    <row r="940" spans="1:12" ht="25.5">
      <c r="A940" s="155">
        <v>390</v>
      </c>
      <c r="B940" s="154">
        <v>200</v>
      </c>
      <c r="C940" s="154">
        <v>300</v>
      </c>
      <c r="D940" s="154">
        <v>100</v>
      </c>
      <c r="E940" s="338">
        <v>10</v>
      </c>
      <c r="F940" s="338">
        <v>0</v>
      </c>
      <c r="G940" s="344" t="s">
        <v>3153</v>
      </c>
      <c r="H940" s="344" t="s">
        <v>1437</v>
      </c>
      <c r="I940" s="154" t="s">
        <v>1438</v>
      </c>
      <c r="J940" s="154" t="s">
        <v>1522</v>
      </c>
      <c r="K940" s="350">
        <v>0</v>
      </c>
      <c r="L940" s="350">
        <v>0</v>
      </c>
    </row>
    <row r="941" spans="1:12" ht="25.5">
      <c r="A941" s="155">
        <v>390</v>
      </c>
      <c r="B941" s="154">
        <v>200</v>
      </c>
      <c r="C941" s="154">
        <v>300</v>
      </c>
      <c r="D941" s="154">
        <v>100</v>
      </c>
      <c r="E941" s="338">
        <v>20</v>
      </c>
      <c r="F941" s="338">
        <v>0</v>
      </c>
      <c r="G941" s="344" t="s">
        <v>3154</v>
      </c>
      <c r="H941" s="344" t="s">
        <v>1439</v>
      </c>
      <c r="I941" s="154" t="s">
        <v>1440</v>
      </c>
      <c r="J941" s="154" t="s">
        <v>1522</v>
      </c>
      <c r="K941" s="350">
        <v>1795337.27</v>
      </c>
      <c r="L941" s="350">
        <v>700.8</v>
      </c>
    </row>
    <row r="942" spans="1:12">
      <c r="A942" s="155">
        <v>390</v>
      </c>
      <c r="B942" s="154">
        <v>200</v>
      </c>
      <c r="C942" s="154">
        <v>300</v>
      </c>
      <c r="D942" s="154">
        <v>200</v>
      </c>
      <c r="E942" s="154">
        <v>0</v>
      </c>
      <c r="F942" s="154">
        <v>0</v>
      </c>
      <c r="G942" s="345" t="s">
        <v>3155</v>
      </c>
      <c r="H942" s="345" t="s">
        <v>1441</v>
      </c>
      <c r="I942" s="154" t="s">
        <v>1442</v>
      </c>
      <c r="J942" s="366"/>
      <c r="K942" s="351">
        <v>0</v>
      </c>
      <c r="L942" s="351">
        <v>0</v>
      </c>
    </row>
    <row r="943" spans="1:12" ht="25.5">
      <c r="A943" s="155">
        <v>390</v>
      </c>
      <c r="B943" s="154">
        <v>200</v>
      </c>
      <c r="C943" s="154">
        <v>300</v>
      </c>
      <c r="D943" s="154">
        <v>200</v>
      </c>
      <c r="E943" s="338">
        <v>10</v>
      </c>
      <c r="F943" s="338">
        <v>0</v>
      </c>
      <c r="G943" s="344" t="s">
        <v>3156</v>
      </c>
      <c r="H943" s="344" t="s">
        <v>1443</v>
      </c>
      <c r="I943" s="154" t="s">
        <v>1444</v>
      </c>
      <c r="J943" s="154" t="s">
        <v>1567</v>
      </c>
      <c r="K943" s="350">
        <v>0</v>
      </c>
      <c r="L943" s="350">
        <v>0</v>
      </c>
    </row>
    <row r="944" spans="1:12">
      <c r="A944" s="155">
        <v>390</v>
      </c>
      <c r="B944" s="154">
        <v>200</v>
      </c>
      <c r="C944" s="154">
        <v>300</v>
      </c>
      <c r="D944" s="154">
        <v>200</v>
      </c>
      <c r="E944" s="154">
        <v>20</v>
      </c>
      <c r="F944" s="154">
        <v>0</v>
      </c>
      <c r="G944" s="345" t="s">
        <v>3157</v>
      </c>
      <c r="H944" s="345" t="s">
        <v>1445</v>
      </c>
      <c r="I944" s="154" t="s">
        <v>1446</v>
      </c>
      <c r="J944" s="366"/>
      <c r="K944" s="351">
        <v>0</v>
      </c>
      <c r="L944" s="351">
        <v>0</v>
      </c>
    </row>
    <row r="945" spans="1:12" ht="25.5">
      <c r="A945" s="155">
        <v>390</v>
      </c>
      <c r="B945" s="154">
        <v>200</v>
      </c>
      <c r="C945" s="154">
        <v>300</v>
      </c>
      <c r="D945" s="154">
        <v>200</v>
      </c>
      <c r="E945" s="154">
        <v>20</v>
      </c>
      <c r="F945" s="338">
        <v>5</v>
      </c>
      <c r="G945" s="344" t="s">
        <v>3158</v>
      </c>
      <c r="H945" s="344" t="s">
        <v>1447</v>
      </c>
      <c r="I945" s="154" t="s">
        <v>1448</v>
      </c>
      <c r="J945" s="154"/>
      <c r="K945" s="350">
        <v>33101.15</v>
      </c>
      <c r="L945" s="350">
        <v>17999.29</v>
      </c>
    </row>
    <row r="946" spans="1:12" ht="25.5">
      <c r="A946" s="155">
        <v>390</v>
      </c>
      <c r="B946" s="154">
        <v>200</v>
      </c>
      <c r="C946" s="154">
        <v>300</v>
      </c>
      <c r="D946" s="154">
        <v>200</v>
      </c>
      <c r="E946" s="154">
        <v>20</v>
      </c>
      <c r="F946" s="338">
        <v>10</v>
      </c>
      <c r="G946" s="344" t="s">
        <v>3159</v>
      </c>
      <c r="H946" s="344" t="s">
        <v>1449</v>
      </c>
      <c r="I946" s="154" t="s">
        <v>1450</v>
      </c>
      <c r="J946" s="154"/>
      <c r="K946" s="350">
        <v>0</v>
      </c>
      <c r="L946" s="350">
        <v>1466.1</v>
      </c>
    </row>
    <row r="947" spans="1:12" ht="25.5">
      <c r="A947" s="155">
        <v>390</v>
      </c>
      <c r="B947" s="154">
        <v>200</v>
      </c>
      <c r="C947" s="154">
        <v>300</v>
      </c>
      <c r="D947" s="154">
        <v>200</v>
      </c>
      <c r="E947" s="154">
        <v>20</v>
      </c>
      <c r="F947" s="338">
        <v>15</v>
      </c>
      <c r="G947" s="344" t="s">
        <v>3160</v>
      </c>
      <c r="H947" s="344" t="s">
        <v>1451</v>
      </c>
      <c r="I947" s="154" t="s">
        <v>1452</v>
      </c>
      <c r="J947" s="154"/>
      <c r="K947" s="350">
        <v>76248.12</v>
      </c>
      <c r="L947" s="350">
        <v>184575.52</v>
      </c>
    </row>
    <row r="948" spans="1:12" ht="25.5">
      <c r="A948" s="155">
        <v>390</v>
      </c>
      <c r="B948" s="154">
        <v>200</v>
      </c>
      <c r="C948" s="154">
        <v>300</v>
      </c>
      <c r="D948" s="154">
        <v>200</v>
      </c>
      <c r="E948" s="338">
        <v>30</v>
      </c>
      <c r="F948" s="338">
        <v>0</v>
      </c>
      <c r="G948" s="344" t="s">
        <v>3161</v>
      </c>
      <c r="H948" s="344" t="s">
        <v>1453</v>
      </c>
      <c r="I948" s="154" t="s">
        <v>1454</v>
      </c>
      <c r="J948" s="154"/>
      <c r="K948" s="350">
        <v>0</v>
      </c>
      <c r="L948" s="350">
        <v>0</v>
      </c>
    </row>
    <row r="949" spans="1:12" ht="25.5">
      <c r="A949" s="155">
        <v>390</v>
      </c>
      <c r="B949" s="154">
        <v>200</v>
      </c>
      <c r="C949" s="154">
        <v>300</v>
      </c>
      <c r="D949" s="154">
        <v>200</v>
      </c>
      <c r="E949" s="338">
        <v>40</v>
      </c>
      <c r="F949" s="338">
        <v>0</v>
      </c>
      <c r="G949" s="344" t="s">
        <v>3162</v>
      </c>
      <c r="H949" s="344" t="s">
        <v>1455</v>
      </c>
      <c r="I949" s="154" t="s">
        <v>1456</v>
      </c>
      <c r="J949" s="154"/>
      <c r="K949" s="350">
        <v>0</v>
      </c>
      <c r="L949" s="350">
        <v>0</v>
      </c>
    </row>
    <row r="950" spans="1:12" ht="25.5">
      <c r="A950" s="155">
        <v>390</v>
      </c>
      <c r="B950" s="154">
        <v>200</v>
      </c>
      <c r="C950" s="154">
        <v>300</v>
      </c>
      <c r="D950" s="154">
        <v>200</v>
      </c>
      <c r="E950" s="338">
        <v>50</v>
      </c>
      <c r="F950" s="338">
        <v>0</v>
      </c>
      <c r="G950" s="344" t="s">
        <v>3163</v>
      </c>
      <c r="H950" s="344" t="s">
        <v>1457</v>
      </c>
      <c r="I950" s="154" t="s">
        <v>1458</v>
      </c>
      <c r="J950" s="154"/>
      <c r="K950" s="350">
        <v>0</v>
      </c>
      <c r="L950" s="350">
        <v>0</v>
      </c>
    </row>
    <row r="951" spans="1:12" ht="25.5">
      <c r="A951" s="155">
        <v>390</v>
      </c>
      <c r="B951" s="154">
        <v>200</v>
      </c>
      <c r="C951" s="154">
        <v>300</v>
      </c>
      <c r="D951" s="154">
        <v>200</v>
      </c>
      <c r="E951" s="338">
        <v>60</v>
      </c>
      <c r="F951" s="338">
        <v>0</v>
      </c>
      <c r="G951" s="344" t="s">
        <v>3164</v>
      </c>
      <c r="H951" s="344" t="s">
        <v>1459</v>
      </c>
      <c r="I951" s="154" t="s">
        <v>1460</v>
      </c>
      <c r="J951" s="154"/>
      <c r="K951" s="350">
        <v>65725.48</v>
      </c>
      <c r="L951" s="350">
        <v>42678</v>
      </c>
    </row>
    <row r="952" spans="1:12">
      <c r="A952" s="155">
        <v>390</v>
      </c>
      <c r="B952" s="154">
        <v>200</v>
      </c>
      <c r="C952" s="154">
        <v>300</v>
      </c>
      <c r="D952" s="154">
        <v>200</v>
      </c>
      <c r="E952" s="338">
        <v>90</v>
      </c>
      <c r="F952" s="338">
        <v>0</v>
      </c>
      <c r="G952" s="344" t="s">
        <v>3165</v>
      </c>
      <c r="H952" s="344" t="s">
        <v>1461</v>
      </c>
      <c r="I952" s="154" t="s">
        <v>1462</v>
      </c>
      <c r="J952" s="154"/>
      <c r="K952" s="350">
        <v>17308.05</v>
      </c>
      <c r="L952" s="350">
        <v>24979.24</v>
      </c>
    </row>
    <row r="953" spans="1:12">
      <c r="A953" s="155">
        <v>390</v>
      </c>
      <c r="B953" s="154">
        <v>200</v>
      </c>
      <c r="C953" s="154">
        <v>400</v>
      </c>
      <c r="D953" s="154">
        <v>0</v>
      </c>
      <c r="E953" s="154">
        <v>0</v>
      </c>
      <c r="F953" s="154">
        <v>0</v>
      </c>
      <c r="G953" s="345" t="s">
        <v>3166</v>
      </c>
      <c r="H953" s="345" t="s">
        <v>1463</v>
      </c>
      <c r="I953" s="154" t="s">
        <v>1464</v>
      </c>
      <c r="J953" s="366"/>
      <c r="K953" s="351">
        <v>0</v>
      </c>
      <c r="L953" s="351">
        <v>0</v>
      </c>
    </row>
    <row r="954" spans="1:12">
      <c r="A954" s="155">
        <v>390</v>
      </c>
      <c r="B954" s="154">
        <v>200</v>
      </c>
      <c r="C954" s="154">
        <v>400</v>
      </c>
      <c r="D954" s="338">
        <v>50</v>
      </c>
      <c r="E954" s="154">
        <v>0</v>
      </c>
      <c r="F954" s="154">
        <v>0</v>
      </c>
      <c r="G954" s="344" t="s">
        <v>3167</v>
      </c>
      <c r="H954" s="344" t="s">
        <v>1465</v>
      </c>
      <c r="I954" s="154" t="s">
        <v>1466</v>
      </c>
      <c r="J954" s="154"/>
      <c r="K954" s="350">
        <v>0</v>
      </c>
      <c r="L954" s="350">
        <v>0</v>
      </c>
    </row>
    <row r="955" spans="1:12" ht="25.5">
      <c r="A955" s="155">
        <v>390</v>
      </c>
      <c r="B955" s="154">
        <v>200</v>
      </c>
      <c r="C955" s="154">
        <v>400</v>
      </c>
      <c r="D955" s="338">
        <v>100</v>
      </c>
      <c r="E955" s="338">
        <v>0</v>
      </c>
      <c r="F955" s="338">
        <v>0</v>
      </c>
      <c r="G955" s="344" t="s">
        <v>3168</v>
      </c>
      <c r="H955" s="344" t="s">
        <v>1467</v>
      </c>
      <c r="I955" s="154" t="s">
        <v>1468</v>
      </c>
      <c r="J955" s="154" t="s">
        <v>1522</v>
      </c>
      <c r="K955" s="350">
        <v>0</v>
      </c>
      <c r="L955" s="350">
        <v>0</v>
      </c>
    </row>
    <row r="956" spans="1:12">
      <c r="A956" s="155">
        <v>390</v>
      </c>
      <c r="B956" s="154">
        <v>200</v>
      </c>
      <c r="C956" s="154">
        <v>400</v>
      </c>
      <c r="D956" s="154">
        <v>200</v>
      </c>
      <c r="E956" s="154">
        <v>0</v>
      </c>
      <c r="F956" s="154">
        <v>0</v>
      </c>
      <c r="G956" s="345" t="s">
        <v>3169</v>
      </c>
      <c r="H956" s="345" t="s">
        <v>1469</v>
      </c>
      <c r="I956" s="154" t="s">
        <v>1470</v>
      </c>
      <c r="J956" s="366"/>
      <c r="K956" s="351">
        <v>0</v>
      </c>
      <c r="L956" s="351">
        <v>0</v>
      </c>
    </row>
    <row r="957" spans="1:12" ht="25.5">
      <c r="A957" s="155">
        <v>390</v>
      </c>
      <c r="B957" s="154">
        <v>200</v>
      </c>
      <c r="C957" s="154">
        <v>400</v>
      </c>
      <c r="D957" s="154">
        <v>200</v>
      </c>
      <c r="E957" s="338">
        <v>10</v>
      </c>
      <c r="F957" s="338">
        <v>0</v>
      </c>
      <c r="G957" s="344" t="s">
        <v>3170</v>
      </c>
      <c r="H957" s="344" t="s">
        <v>1471</v>
      </c>
      <c r="I957" s="154" t="s">
        <v>1472</v>
      </c>
      <c r="J957" s="154" t="s">
        <v>1567</v>
      </c>
      <c r="K957" s="350">
        <v>0</v>
      </c>
      <c r="L957" s="350">
        <v>0</v>
      </c>
    </row>
    <row r="958" spans="1:12" ht="31.15" customHeight="1">
      <c r="A958" s="155">
        <v>390</v>
      </c>
      <c r="B958" s="154">
        <v>200</v>
      </c>
      <c r="C958" s="154">
        <v>400</v>
      </c>
      <c r="D958" s="154">
        <v>200</v>
      </c>
      <c r="E958" s="338">
        <v>20</v>
      </c>
      <c r="F958" s="338">
        <v>0</v>
      </c>
      <c r="G958" s="344" t="s">
        <v>3171</v>
      </c>
      <c r="H958" s="344" t="s">
        <v>1473</v>
      </c>
      <c r="I958" s="154" t="s">
        <v>1474</v>
      </c>
      <c r="J958" s="154"/>
      <c r="K958" s="350">
        <v>1676.8</v>
      </c>
      <c r="L958" s="350">
        <v>6037.47</v>
      </c>
    </row>
    <row r="959" spans="1:12" ht="31.15" customHeight="1">
      <c r="A959" s="155">
        <v>390</v>
      </c>
      <c r="B959" s="154">
        <v>200</v>
      </c>
      <c r="C959" s="154">
        <v>400</v>
      </c>
      <c r="D959" s="154">
        <v>200</v>
      </c>
      <c r="E959" s="338">
        <v>30</v>
      </c>
      <c r="F959" s="338">
        <v>0</v>
      </c>
      <c r="G959" s="344" t="s">
        <v>3172</v>
      </c>
      <c r="H959" s="344" t="s">
        <v>1475</v>
      </c>
      <c r="I959" s="154" t="s">
        <v>1476</v>
      </c>
      <c r="J959" s="154"/>
      <c r="K959" s="350">
        <v>0</v>
      </c>
      <c r="L959" s="350">
        <v>0</v>
      </c>
    </row>
    <row r="960" spans="1:12" ht="25.5">
      <c r="A960" s="155">
        <v>390</v>
      </c>
      <c r="B960" s="154">
        <v>200</v>
      </c>
      <c r="C960" s="154">
        <v>400</v>
      </c>
      <c r="D960" s="154">
        <v>200</v>
      </c>
      <c r="E960" s="338">
        <v>40</v>
      </c>
      <c r="F960" s="338">
        <v>0</v>
      </c>
      <c r="G960" s="344" t="s">
        <v>3173</v>
      </c>
      <c r="H960" s="344" t="s">
        <v>1477</v>
      </c>
      <c r="I960" s="154" t="s">
        <v>1478</v>
      </c>
      <c r="J960" s="154"/>
      <c r="K960" s="350">
        <v>0</v>
      </c>
      <c r="L960" s="350">
        <v>0</v>
      </c>
    </row>
    <row r="961" spans="1:12" ht="25.5">
      <c r="A961" s="155">
        <v>390</v>
      </c>
      <c r="B961" s="154">
        <v>200</v>
      </c>
      <c r="C961" s="154">
        <v>400</v>
      </c>
      <c r="D961" s="154">
        <v>200</v>
      </c>
      <c r="E961" s="338">
        <v>50</v>
      </c>
      <c r="F961" s="338">
        <v>0</v>
      </c>
      <c r="G961" s="344" t="s">
        <v>3174</v>
      </c>
      <c r="H961" s="344" t="s">
        <v>1479</v>
      </c>
      <c r="I961" s="154" t="s">
        <v>1480</v>
      </c>
      <c r="J961" s="154"/>
      <c r="K961" s="350">
        <v>0</v>
      </c>
      <c r="L961" s="350">
        <v>0</v>
      </c>
    </row>
    <row r="962" spans="1:12" ht="25.5">
      <c r="A962" s="155">
        <v>390</v>
      </c>
      <c r="B962" s="154">
        <v>200</v>
      </c>
      <c r="C962" s="154">
        <v>400</v>
      </c>
      <c r="D962" s="154">
        <v>200</v>
      </c>
      <c r="E962" s="338">
        <v>60</v>
      </c>
      <c r="F962" s="338">
        <v>0</v>
      </c>
      <c r="G962" s="344" t="s">
        <v>3175</v>
      </c>
      <c r="H962" s="344" t="s">
        <v>1481</v>
      </c>
      <c r="I962" s="154" t="s">
        <v>1482</v>
      </c>
      <c r="J962" s="154"/>
      <c r="K962" s="350">
        <v>0</v>
      </c>
      <c r="L962" s="350">
        <v>0</v>
      </c>
    </row>
    <row r="963" spans="1:12">
      <c r="A963" s="155">
        <v>390</v>
      </c>
      <c r="B963" s="154">
        <v>200</v>
      </c>
      <c r="C963" s="154">
        <v>400</v>
      </c>
      <c r="D963" s="154">
        <v>200</v>
      </c>
      <c r="E963" s="338">
        <v>70</v>
      </c>
      <c r="F963" s="338">
        <v>0</v>
      </c>
      <c r="G963" s="344" t="s">
        <v>3176</v>
      </c>
      <c r="H963" s="344" t="s">
        <v>1483</v>
      </c>
      <c r="I963" s="154" t="s">
        <v>1484</v>
      </c>
      <c r="J963" s="154"/>
      <c r="K963" s="350">
        <v>1934377.25</v>
      </c>
      <c r="L963" s="350">
        <v>35975.81</v>
      </c>
    </row>
    <row r="964" spans="1:12">
      <c r="A964" s="155">
        <v>390</v>
      </c>
      <c r="B964" s="154">
        <v>200</v>
      </c>
      <c r="C964" s="338">
        <v>500</v>
      </c>
      <c r="D964" s="338">
        <v>0</v>
      </c>
      <c r="E964" s="338">
        <v>0</v>
      </c>
      <c r="F964" s="338">
        <v>0</v>
      </c>
      <c r="G964" s="344" t="s">
        <v>3177</v>
      </c>
      <c r="H964" s="344" t="s">
        <v>1427</v>
      </c>
      <c r="I964" s="154" t="s">
        <v>1485</v>
      </c>
      <c r="J964" s="154"/>
      <c r="K964" s="350">
        <v>1279.71</v>
      </c>
      <c r="L964" s="350">
        <v>46.48</v>
      </c>
    </row>
    <row r="965" spans="1:12">
      <c r="A965" s="150">
        <v>400</v>
      </c>
      <c r="B965" s="57">
        <v>0</v>
      </c>
      <c r="C965" s="57">
        <v>0</v>
      </c>
      <c r="D965" s="57">
        <v>0</v>
      </c>
      <c r="E965" s="57">
        <v>0</v>
      </c>
      <c r="F965" s="57">
        <v>0</v>
      </c>
      <c r="G965" s="355">
        <v>400</v>
      </c>
      <c r="H965" s="355" t="s">
        <v>110</v>
      </c>
      <c r="I965" s="57" t="s">
        <v>1486</v>
      </c>
      <c r="J965" s="57"/>
      <c r="K965" s="351">
        <v>0</v>
      </c>
      <c r="L965" s="351">
        <v>0</v>
      </c>
    </row>
    <row r="966" spans="1:12">
      <c r="A966" s="155">
        <v>400</v>
      </c>
      <c r="B966" s="338">
        <v>100</v>
      </c>
      <c r="C966" s="338">
        <v>0</v>
      </c>
      <c r="D966" s="338">
        <v>0</v>
      </c>
      <c r="E966" s="338">
        <v>0</v>
      </c>
      <c r="F966" s="338">
        <v>0</v>
      </c>
      <c r="G966" s="344" t="s">
        <v>3178</v>
      </c>
      <c r="H966" s="344" t="s">
        <v>1487</v>
      </c>
      <c r="I966" s="154" t="s">
        <v>1488</v>
      </c>
      <c r="J966" s="154"/>
      <c r="K966" s="350">
        <v>2853937.69</v>
      </c>
      <c r="L966" s="350">
        <v>2786515.45</v>
      </c>
    </row>
    <row r="967" spans="1:12" ht="25.5">
      <c r="A967" s="155">
        <v>400</v>
      </c>
      <c r="B967" s="338">
        <v>200</v>
      </c>
      <c r="C967" s="338">
        <v>0</v>
      </c>
      <c r="D967" s="338">
        <v>0</v>
      </c>
      <c r="E967" s="338">
        <v>0</v>
      </c>
      <c r="F967" s="338">
        <v>0</v>
      </c>
      <c r="G967" s="344" t="s">
        <v>3179</v>
      </c>
      <c r="H967" s="344" t="s">
        <v>1489</v>
      </c>
      <c r="I967" s="154" t="s">
        <v>1490</v>
      </c>
      <c r="J967" s="154"/>
      <c r="K967" s="350">
        <v>147542.73000000001</v>
      </c>
      <c r="L967" s="350">
        <v>138840.81</v>
      </c>
    </row>
    <row r="968" spans="1:12" ht="25.5">
      <c r="A968" s="155">
        <v>400</v>
      </c>
      <c r="B968" s="338">
        <v>300</v>
      </c>
      <c r="C968" s="338">
        <v>0</v>
      </c>
      <c r="D968" s="338">
        <v>0</v>
      </c>
      <c r="E968" s="338">
        <v>0</v>
      </c>
      <c r="F968" s="338">
        <v>0</v>
      </c>
      <c r="G968" s="344" t="s">
        <v>3180</v>
      </c>
      <c r="H968" s="344" t="s">
        <v>1491</v>
      </c>
      <c r="I968" s="154" t="s">
        <v>1492</v>
      </c>
      <c r="J968" s="154"/>
      <c r="K968" s="350">
        <v>70189.710000000006</v>
      </c>
      <c r="L968" s="350">
        <v>62708.67</v>
      </c>
    </row>
    <row r="969" spans="1:12">
      <c r="A969" s="155">
        <v>400</v>
      </c>
      <c r="B969" s="338">
        <v>400</v>
      </c>
      <c r="C969" s="338">
        <v>0</v>
      </c>
      <c r="D969" s="338">
        <v>0</v>
      </c>
      <c r="E969" s="338">
        <v>0</v>
      </c>
      <c r="F969" s="338">
        <v>0</v>
      </c>
      <c r="G969" s="344" t="s">
        <v>3181</v>
      </c>
      <c r="H969" s="344" t="s">
        <v>1493</v>
      </c>
      <c r="I969" s="154" t="s">
        <v>1494</v>
      </c>
      <c r="J969" s="154"/>
      <c r="K969" s="350">
        <v>0</v>
      </c>
      <c r="L969" s="350">
        <v>0</v>
      </c>
    </row>
    <row r="970" spans="1:12">
      <c r="A970" s="150">
        <v>405</v>
      </c>
      <c r="B970" s="57">
        <v>0</v>
      </c>
      <c r="C970" s="57">
        <v>0</v>
      </c>
      <c r="D970" s="57">
        <v>0</v>
      </c>
      <c r="E970" s="57">
        <v>0</v>
      </c>
      <c r="F970" s="57">
        <v>0</v>
      </c>
      <c r="G970" s="355">
        <v>405</v>
      </c>
      <c r="H970" s="355" t="s">
        <v>115</v>
      </c>
      <c r="I970" s="57" t="s">
        <v>1495</v>
      </c>
      <c r="J970" s="57"/>
      <c r="K970" s="351">
        <v>0</v>
      </c>
      <c r="L970" s="351"/>
    </row>
    <row r="971" spans="1:12">
      <c r="A971" s="155">
        <v>405</v>
      </c>
      <c r="B971" s="338">
        <v>100</v>
      </c>
      <c r="C971" s="338">
        <v>0</v>
      </c>
      <c r="D971" s="338">
        <v>0</v>
      </c>
      <c r="E971" s="338">
        <v>0</v>
      </c>
      <c r="F971" s="338">
        <v>0</v>
      </c>
      <c r="G971" s="344" t="s">
        <v>3182</v>
      </c>
      <c r="H971" s="344" t="s">
        <v>1496</v>
      </c>
      <c r="I971" s="154" t="s">
        <v>1497</v>
      </c>
      <c r="J971" s="154"/>
      <c r="K971" s="350">
        <v>18407</v>
      </c>
      <c r="L971" s="350">
        <v>17835</v>
      </c>
    </row>
    <row r="972" spans="1:12">
      <c r="A972" s="155">
        <v>405</v>
      </c>
      <c r="B972" s="338">
        <v>200</v>
      </c>
      <c r="C972" s="338">
        <v>0</v>
      </c>
      <c r="D972" s="338">
        <v>0</v>
      </c>
      <c r="E972" s="338">
        <v>0</v>
      </c>
      <c r="F972" s="338">
        <v>0</v>
      </c>
      <c r="G972" s="344" t="s">
        <v>3183</v>
      </c>
      <c r="H972" s="344" t="s">
        <v>1498</v>
      </c>
      <c r="I972" s="154" t="s">
        <v>1499</v>
      </c>
      <c r="J972" s="154"/>
      <c r="K972" s="350"/>
      <c r="L972" s="350"/>
    </row>
    <row r="973" spans="1:12" ht="26.25" thickBot="1">
      <c r="A973" s="157">
        <v>410</v>
      </c>
      <c r="B973" s="343">
        <v>0</v>
      </c>
      <c r="C973" s="343">
        <v>0</v>
      </c>
      <c r="D973" s="343">
        <v>0</v>
      </c>
      <c r="E973" s="343">
        <v>0</v>
      </c>
      <c r="F973" s="343">
        <v>0</v>
      </c>
      <c r="G973" s="368" t="s">
        <v>3184</v>
      </c>
      <c r="H973" s="368" t="s">
        <v>1500</v>
      </c>
      <c r="I973" s="343" t="s">
        <v>1501</v>
      </c>
      <c r="J973" s="343"/>
      <c r="K973" s="369">
        <v>0</v>
      </c>
      <c r="L973" s="369">
        <v>0</v>
      </c>
    </row>
    <row r="974" spans="1:12" ht="15">
      <c r="G974" s="58"/>
      <c r="H974" s="58" t="s">
        <v>534</v>
      </c>
      <c r="K974" s="215">
        <f>SUM(K6:K973)</f>
        <v>96118159.160000041</v>
      </c>
      <c r="L974" s="215">
        <f>SUM(L6:L973)</f>
        <v>96111651.050000027</v>
      </c>
    </row>
    <row r="975" spans="1:12" ht="15">
      <c r="A975" s="53"/>
      <c r="B975" s="53"/>
      <c r="C975" s="53"/>
      <c r="D975" s="53"/>
      <c r="E975" s="53"/>
      <c r="F975" s="53"/>
      <c r="G975" s="58"/>
      <c r="H975" s="58"/>
      <c r="I975" s="59"/>
      <c r="J975" s="59"/>
      <c r="K975" s="215"/>
      <c r="L975" s="215"/>
    </row>
    <row r="976" spans="1:12" ht="15">
      <c r="G976" s="58"/>
      <c r="H976" s="58"/>
      <c r="K976" s="215"/>
      <c r="L976" s="215"/>
    </row>
    <row r="977" spans="7:12" ht="15">
      <c r="G977" s="58"/>
      <c r="H977" s="58"/>
      <c r="K977" s="215">
        <v>0</v>
      </c>
      <c r="L977" s="215">
        <v>0</v>
      </c>
    </row>
    <row r="978" spans="7:12" ht="15">
      <c r="G978" s="58"/>
      <c r="H978" s="58"/>
      <c r="K978" s="215"/>
      <c r="L978" s="215"/>
    </row>
    <row r="979" spans="7:12" ht="15">
      <c r="G979" s="58"/>
      <c r="H979" s="58"/>
      <c r="K979" s="215"/>
      <c r="L979" s="215"/>
    </row>
    <row r="980" spans="7:12" ht="15">
      <c r="G980" s="58"/>
      <c r="H980" s="58"/>
      <c r="K980" s="215"/>
      <c r="L980" s="215"/>
    </row>
    <row r="981" spans="7:12" ht="15">
      <c r="G981" s="58"/>
      <c r="H981" s="58"/>
      <c r="K981" s="215"/>
      <c r="L981" s="215"/>
    </row>
    <row r="982" spans="7:12" ht="15">
      <c r="G982" s="58"/>
      <c r="H982" s="58"/>
      <c r="K982" s="215"/>
      <c r="L982" s="215"/>
    </row>
    <row r="983" spans="7:12" ht="15">
      <c r="G983" s="58"/>
      <c r="H983" s="58"/>
      <c r="K983" s="215"/>
      <c r="L983" s="215"/>
    </row>
    <row r="984" spans="7:12" ht="15">
      <c r="G984" s="58"/>
      <c r="H984" s="58"/>
      <c r="K984" s="215"/>
      <c r="L984" s="215"/>
    </row>
    <row r="985" spans="7:12" ht="15">
      <c r="G985" s="58"/>
      <c r="H985" s="58"/>
      <c r="K985" s="215"/>
      <c r="L985" s="215"/>
    </row>
    <row r="986" spans="7:12" ht="15">
      <c r="G986" s="58"/>
      <c r="H986" s="58"/>
      <c r="K986" s="215"/>
      <c r="L986" s="215"/>
    </row>
    <row r="987" spans="7:12" ht="15">
      <c r="G987" s="58"/>
      <c r="H987" s="58"/>
      <c r="K987" s="215"/>
      <c r="L987" s="215"/>
    </row>
    <row r="988" spans="7:12" ht="15">
      <c r="G988" s="58"/>
      <c r="H988" s="58"/>
      <c r="K988" s="215"/>
      <c r="L988" s="215"/>
    </row>
    <row r="989" spans="7:12" ht="15">
      <c r="G989" s="58"/>
      <c r="H989" s="58"/>
      <c r="K989" s="215"/>
      <c r="L989" s="215"/>
    </row>
    <row r="990" spans="7:12" ht="15">
      <c r="G990" s="58"/>
      <c r="H990" s="58"/>
      <c r="K990" s="215"/>
      <c r="L990" s="215"/>
    </row>
    <row r="991" spans="7:12" ht="15">
      <c r="G991" s="58"/>
      <c r="H991" s="58"/>
      <c r="K991" s="215"/>
      <c r="L991" s="215"/>
    </row>
    <row r="992" spans="7:12" ht="15">
      <c r="G992" s="58"/>
      <c r="H992" s="58"/>
      <c r="K992" s="215"/>
      <c r="L992" s="215"/>
    </row>
    <row r="993" spans="7:12" ht="15">
      <c r="G993" s="58"/>
      <c r="H993" s="58"/>
      <c r="K993" s="215"/>
      <c r="L993" s="215"/>
    </row>
    <row r="994" spans="7:12" ht="15">
      <c r="G994" s="58"/>
      <c r="H994" s="58"/>
      <c r="K994" s="215"/>
      <c r="L994" s="215"/>
    </row>
    <row r="995" spans="7:12" ht="15">
      <c r="G995" s="58"/>
      <c r="H995" s="58"/>
      <c r="K995" s="215"/>
      <c r="L995" s="215"/>
    </row>
    <row r="996" spans="7:12" ht="15">
      <c r="G996" s="58"/>
      <c r="H996" s="58"/>
      <c r="K996" s="215"/>
      <c r="L996" s="215"/>
    </row>
    <row r="997" spans="7:12" ht="15">
      <c r="G997" s="58"/>
      <c r="H997" s="58"/>
      <c r="K997" s="215"/>
      <c r="L997" s="215"/>
    </row>
    <row r="998" spans="7:12" ht="15">
      <c r="G998" s="58"/>
      <c r="H998" s="58"/>
      <c r="K998" s="215"/>
      <c r="L998" s="215"/>
    </row>
    <row r="999" spans="7:12" ht="15">
      <c r="G999" s="58"/>
      <c r="H999" s="58"/>
      <c r="K999" s="215"/>
      <c r="L999" s="215"/>
    </row>
    <row r="1000" spans="7:12" ht="15">
      <c r="G1000" s="58"/>
      <c r="H1000" s="58"/>
      <c r="K1000" s="215"/>
      <c r="L1000" s="215"/>
    </row>
    <row r="1001" spans="7:12" ht="15">
      <c r="G1001" s="58"/>
      <c r="H1001" s="58"/>
      <c r="K1001" s="215"/>
      <c r="L1001" s="215"/>
    </row>
    <row r="1002" spans="7:12" ht="15">
      <c r="G1002" s="58"/>
      <c r="H1002" s="58"/>
      <c r="K1002" s="215"/>
      <c r="L1002" s="215"/>
    </row>
    <row r="1003" spans="7:12" ht="15">
      <c r="G1003" s="58"/>
      <c r="H1003" s="58"/>
      <c r="K1003" s="215"/>
      <c r="L1003" s="215"/>
    </row>
  </sheetData>
  <autoFilter ref="A2:L999" xr:uid="{00000000-0009-0000-0000-000002000000}"/>
  <mergeCells count="5">
    <mergeCell ref="G1:G2"/>
    <mergeCell ref="H1:H2"/>
    <mergeCell ref="I1:I2"/>
    <mergeCell ref="K1:K2"/>
    <mergeCell ref="L1:L2"/>
  </mergeCells>
  <printOptions horizontalCentered="1"/>
  <pageMargins left="0.59055118110236227" right="0.59055118110236227" top="0.59055118110236227" bottom="0.59055118110236227" header="0" footer="0"/>
  <pageSetup paperSize="9" scale="59" fitToHeight="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J591"/>
  <sheetViews>
    <sheetView tabSelected="1" topLeftCell="A37" zoomScaleNormal="100" workbookViewId="0">
      <selection activeCell="K55" sqref="K55"/>
    </sheetView>
  </sheetViews>
  <sheetFormatPr defaultRowHeight="12.75"/>
  <cols>
    <col min="1" max="6" width="3.5703125" style="901" customWidth="1"/>
    <col min="7" max="7" width="22" style="253" hidden="1" customWidth="1"/>
    <col min="8" max="8" width="48.28515625" customWidth="1"/>
    <col min="9" max="9" width="14.5703125" customWidth="1"/>
    <col min="10" max="10" width="11" customWidth="1"/>
    <col min="11" max="12" width="18.7109375" customWidth="1"/>
  </cols>
  <sheetData>
    <row r="1" spans="1:12" ht="30" customHeight="1" thickBot="1">
      <c r="A1" s="237" t="s">
        <v>120</v>
      </c>
      <c r="B1" s="240"/>
      <c r="C1" s="240"/>
      <c r="D1" s="240"/>
      <c r="E1" s="240"/>
      <c r="F1" s="241"/>
      <c r="G1" s="928" t="s">
        <v>3444</v>
      </c>
      <c r="H1" s="929" t="s">
        <v>121</v>
      </c>
      <c r="I1" s="928" t="s">
        <v>122</v>
      </c>
      <c r="J1" s="928" t="s">
        <v>2211</v>
      </c>
      <c r="K1" s="929" t="s">
        <v>3458</v>
      </c>
      <c r="L1" s="929" t="s">
        <v>3457</v>
      </c>
    </row>
    <row r="2" spans="1:12" ht="24" customHeight="1" thickBot="1">
      <c r="A2" s="216" t="s">
        <v>123</v>
      </c>
      <c r="B2" s="216" t="s">
        <v>124</v>
      </c>
      <c r="C2" s="216" t="s">
        <v>125</v>
      </c>
      <c r="D2" s="216" t="s">
        <v>126</v>
      </c>
      <c r="E2" s="216" t="s">
        <v>127</v>
      </c>
      <c r="F2" s="216" t="s">
        <v>128</v>
      </c>
      <c r="G2" s="928"/>
      <c r="H2" s="930"/>
      <c r="I2" s="928"/>
      <c r="J2" s="928"/>
      <c r="K2" s="930"/>
      <c r="L2" s="930"/>
    </row>
    <row r="3" spans="1:12">
      <c r="A3" s="242">
        <v>600</v>
      </c>
      <c r="B3" s="243">
        <v>0</v>
      </c>
      <c r="C3" s="243">
        <v>0</v>
      </c>
      <c r="D3" s="243">
        <v>0</v>
      </c>
      <c r="E3" s="243">
        <v>0</v>
      </c>
      <c r="F3" s="243">
        <v>0</v>
      </c>
      <c r="G3" s="376">
        <v>600</v>
      </c>
      <c r="H3" s="239" t="s">
        <v>129</v>
      </c>
      <c r="I3" s="42" t="s">
        <v>1505</v>
      </c>
      <c r="J3" s="42"/>
      <c r="K3" s="205"/>
      <c r="L3" s="205"/>
    </row>
    <row r="4" spans="1:12" ht="25.5">
      <c r="A4" s="894">
        <v>600</v>
      </c>
      <c r="B4" s="245">
        <v>100</v>
      </c>
      <c r="C4" s="245">
        <v>0</v>
      </c>
      <c r="D4" s="245">
        <v>0</v>
      </c>
      <c r="E4" s="245">
        <v>0</v>
      </c>
      <c r="F4" s="245">
        <v>0</v>
      </c>
      <c r="G4" s="377" t="s">
        <v>3185</v>
      </c>
      <c r="H4" s="43" t="s">
        <v>130</v>
      </c>
      <c r="I4" s="44" t="s">
        <v>1507</v>
      </c>
      <c r="J4" s="44"/>
      <c r="K4" s="206"/>
      <c r="L4" s="206"/>
    </row>
    <row r="5" spans="1:12" ht="25.5">
      <c r="A5" s="894">
        <v>600</v>
      </c>
      <c r="B5" s="245">
        <v>100</v>
      </c>
      <c r="C5" s="245">
        <v>100</v>
      </c>
      <c r="D5" s="245">
        <v>0</v>
      </c>
      <c r="E5" s="245">
        <v>0</v>
      </c>
      <c r="F5" s="245">
        <v>0</v>
      </c>
      <c r="G5" s="377" t="s">
        <v>3186</v>
      </c>
      <c r="H5" s="43" t="s">
        <v>131</v>
      </c>
      <c r="I5" s="44" t="s">
        <v>132</v>
      </c>
      <c r="J5" s="44"/>
      <c r="K5" s="206"/>
      <c r="L5" s="206"/>
    </row>
    <row r="6" spans="1:12">
      <c r="A6" s="894">
        <v>600</v>
      </c>
      <c r="B6" s="245">
        <v>100</v>
      </c>
      <c r="C6" s="245">
        <v>100</v>
      </c>
      <c r="D6" s="244">
        <v>100</v>
      </c>
      <c r="E6" s="244">
        <v>0</v>
      </c>
      <c r="F6" s="244">
        <v>0</v>
      </c>
      <c r="G6" s="378" t="s">
        <v>3187</v>
      </c>
      <c r="H6" s="45" t="s">
        <v>2094</v>
      </c>
      <c r="I6" s="44" t="s">
        <v>133</v>
      </c>
      <c r="J6" s="44"/>
      <c r="K6" s="207">
        <v>14488784.33</v>
      </c>
      <c r="L6" s="207">
        <v>9928612.3800000008</v>
      </c>
    </row>
    <row r="7" spans="1:12">
      <c r="A7" s="894">
        <v>600</v>
      </c>
      <c r="B7" s="245">
        <v>100</v>
      </c>
      <c r="C7" s="245">
        <v>100</v>
      </c>
      <c r="D7" s="244">
        <v>200</v>
      </c>
      <c r="E7" s="244">
        <v>0</v>
      </c>
      <c r="F7" s="244">
        <v>0</v>
      </c>
      <c r="G7" s="378" t="s">
        <v>3188</v>
      </c>
      <c r="H7" s="45" t="s">
        <v>134</v>
      </c>
      <c r="I7" s="44" t="s">
        <v>135</v>
      </c>
      <c r="J7" s="44"/>
      <c r="K7" s="207">
        <v>5171055.4000000004</v>
      </c>
      <c r="L7" s="207">
        <v>18181251.300000001</v>
      </c>
    </row>
    <row r="8" spans="1:12">
      <c r="A8" s="894">
        <v>600</v>
      </c>
      <c r="B8" s="245">
        <v>100</v>
      </c>
      <c r="C8" s="245">
        <v>100</v>
      </c>
      <c r="D8" s="244">
        <v>300</v>
      </c>
      <c r="E8" s="244">
        <v>0</v>
      </c>
      <c r="F8" s="244">
        <v>0</v>
      </c>
      <c r="G8" s="378" t="s">
        <v>3189</v>
      </c>
      <c r="H8" s="45" t="s">
        <v>2095</v>
      </c>
      <c r="I8" s="44" t="s">
        <v>136</v>
      </c>
      <c r="J8" s="44"/>
      <c r="K8" s="208">
        <v>0</v>
      </c>
      <c r="L8" s="208">
        <v>0</v>
      </c>
    </row>
    <row r="9" spans="1:12">
      <c r="A9" s="894">
        <v>600</v>
      </c>
      <c r="B9" s="245">
        <v>100</v>
      </c>
      <c r="C9" s="245">
        <v>100</v>
      </c>
      <c r="D9" s="244">
        <v>300</v>
      </c>
      <c r="E9" s="244">
        <v>10</v>
      </c>
      <c r="F9" s="244">
        <v>0</v>
      </c>
      <c r="G9" s="378" t="s">
        <v>3190</v>
      </c>
      <c r="H9" s="45" t="s">
        <v>137</v>
      </c>
      <c r="I9" s="44" t="s">
        <v>138</v>
      </c>
      <c r="J9" s="44"/>
      <c r="K9" s="207">
        <v>2328685</v>
      </c>
      <c r="L9" s="207">
        <v>2328685</v>
      </c>
    </row>
    <row r="10" spans="1:12">
      <c r="A10" s="894">
        <v>600</v>
      </c>
      <c r="B10" s="245">
        <v>100</v>
      </c>
      <c r="C10" s="245">
        <v>100</v>
      </c>
      <c r="D10" s="244">
        <v>300</v>
      </c>
      <c r="E10" s="244">
        <v>20</v>
      </c>
      <c r="F10" s="244">
        <v>0</v>
      </c>
      <c r="G10" s="378" t="s">
        <v>3191</v>
      </c>
      <c r="H10" s="45" t="s">
        <v>139</v>
      </c>
      <c r="I10" s="44" t="s">
        <v>140</v>
      </c>
      <c r="J10" s="44"/>
      <c r="K10" s="207">
        <v>5086113</v>
      </c>
      <c r="L10" s="207">
        <v>5074113</v>
      </c>
    </row>
    <row r="11" spans="1:12" ht="25.5">
      <c r="A11" s="894">
        <v>600</v>
      </c>
      <c r="B11" s="245">
        <v>100</v>
      </c>
      <c r="C11" s="245">
        <v>100</v>
      </c>
      <c r="D11" s="244">
        <v>400</v>
      </c>
      <c r="E11" s="244">
        <v>0</v>
      </c>
      <c r="F11" s="244">
        <v>0</v>
      </c>
      <c r="G11" s="378" t="s">
        <v>3192</v>
      </c>
      <c r="H11" s="45" t="s">
        <v>141</v>
      </c>
      <c r="I11" s="44" t="s">
        <v>142</v>
      </c>
      <c r="J11" s="44"/>
      <c r="K11" s="207">
        <v>0</v>
      </c>
      <c r="L11" s="207">
        <v>0</v>
      </c>
    </row>
    <row r="12" spans="1:12" ht="25.5">
      <c r="A12" s="894">
        <v>600</v>
      </c>
      <c r="B12" s="245">
        <v>100</v>
      </c>
      <c r="C12" s="245">
        <v>200</v>
      </c>
      <c r="D12" s="245">
        <v>0</v>
      </c>
      <c r="E12" s="245">
        <v>0</v>
      </c>
      <c r="F12" s="245">
        <v>0</v>
      </c>
      <c r="G12" s="377" t="s">
        <v>3193</v>
      </c>
      <c r="H12" s="43" t="s">
        <v>143</v>
      </c>
      <c r="I12" s="44" t="s">
        <v>144</v>
      </c>
      <c r="J12" s="44"/>
      <c r="K12" s="208">
        <v>0</v>
      </c>
      <c r="L12" s="208">
        <v>0</v>
      </c>
    </row>
    <row r="13" spans="1:12">
      <c r="A13" s="894">
        <v>600</v>
      </c>
      <c r="B13" s="245">
        <v>100</v>
      </c>
      <c r="C13" s="245">
        <v>200</v>
      </c>
      <c r="D13" s="244">
        <v>300</v>
      </c>
      <c r="E13" s="244">
        <v>0</v>
      </c>
      <c r="F13" s="244">
        <v>0</v>
      </c>
      <c r="G13" s="378" t="s">
        <v>3194</v>
      </c>
      <c r="H13" s="45" t="s">
        <v>145</v>
      </c>
      <c r="I13" s="47"/>
      <c r="J13" s="47"/>
      <c r="K13" s="207">
        <v>0</v>
      </c>
      <c r="L13" s="207">
        <v>2571265.62</v>
      </c>
    </row>
    <row r="14" spans="1:12">
      <c r="A14" s="894">
        <v>600</v>
      </c>
      <c r="B14" s="245">
        <v>200</v>
      </c>
      <c r="C14" s="245">
        <v>0</v>
      </c>
      <c r="D14" s="245">
        <v>0</v>
      </c>
      <c r="E14" s="245">
        <v>0</v>
      </c>
      <c r="F14" s="245">
        <v>0</v>
      </c>
      <c r="G14" s="377" t="s">
        <v>3195</v>
      </c>
      <c r="H14" s="43" t="s">
        <v>146</v>
      </c>
      <c r="I14" s="44" t="s">
        <v>147</v>
      </c>
      <c r="J14" s="44"/>
      <c r="K14" s="208">
        <v>0</v>
      </c>
      <c r="L14" s="208">
        <v>0</v>
      </c>
    </row>
    <row r="15" spans="1:12">
      <c r="A15" s="894">
        <v>600</v>
      </c>
      <c r="B15" s="245">
        <v>200</v>
      </c>
      <c r="C15" s="245">
        <v>100</v>
      </c>
      <c r="D15" s="245">
        <v>0</v>
      </c>
      <c r="E15" s="245">
        <v>0</v>
      </c>
      <c r="F15" s="245">
        <v>0</v>
      </c>
      <c r="G15" s="377" t="s">
        <v>3196</v>
      </c>
      <c r="H15" s="43" t="s">
        <v>148</v>
      </c>
      <c r="I15" s="44" t="s">
        <v>149</v>
      </c>
      <c r="J15" s="44"/>
      <c r="K15" s="208">
        <v>0</v>
      </c>
      <c r="L15" s="208">
        <v>0</v>
      </c>
    </row>
    <row r="16" spans="1:12" ht="25.5">
      <c r="A16" s="894">
        <v>600</v>
      </c>
      <c r="B16" s="245">
        <v>200</v>
      </c>
      <c r="C16" s="245">
        <v>100</v>
      </c>
      <c r="D16" s="245">
        <v>100</v>
      </c>
      <c r="E16" s="245">
        <v>0</v>
      </c>
      <c r="F16" s="245">
        <v>0</v>
      </c>
      <c r="G16" s="377" t="s">
        <v>3197</v>
      </c>
      <c r="H16" s="43" t="s">
        <v>150</v>
      </c>
      <c r="I16" s="44" t="s">
        <v>151</v>
      </c>
      <c r="J16" s="44"/>
      <c r="K16" s="208">
        <v>0</v>
      </c>
      <c r="L16" s="208">
        <v>0</v>
      </c>
    </row>
    <row r="17" spans="1:12">
      <c r="A17" s="894">
        <v>600</v>
      </c>
      <c r="B17" s="245">
        <v>200</v>
      </c>
      <c r="C17" s="245">
        <v>100</v>
      </c>
      <c r="D17" s="245">
        <v>100</v>
      </c>
      <c r="E17" s="244">
        <v>10</v>
      </c>
      <c r="F17" s="244">
        <v>0</v>
      </c>
      <c r="G17" s="378" t="s">
        <v>3198</v>
      </c>
      <c r="H17" s="45" t="s">
        <v>152</v>
      </c>
      <c r="I17" s="47"/>
      <c r="J17" s="47"/>
      <c r="K17" s="207">
        <v>0</v>
      </c>
      <c r="L17" s="207">
        <v>0</v>
      </c>
    </row>
    <row r="18" spans="1:12">
      <c r="A18" s="894">
        <v>600</v>
      </c>
      <c r="B18" s="245">
        <v>200</v>
      </c>
      <c r="C18" s="245">
        <v>100</v>
      </c>
      <c r="D18" s="245">
        <v>100</v>
      </c>
      <c r="E18" s="244">
        <v>20</v>
      </c>
      <c r="F18" s="244">
        <v>0</v>
      </c>
      <c r="G18" s="378" t="s">
        <v>3199</v>
      </c>
      <c r="H18" s="45" t="s">
        <v>153</v>
      </c>
      <c r="I18" s="47"/>
      <c r="J18" s="47"/>
      <c r="K18" s="207">
        <v>0</v>
      </c>
      <c r="L18" s="207">
        <v>0</v>
      </c>
    </row>
    <row r="19" spans="1:12" ht="25.5">
      <c r="A19" s="894">
        <v>600</v>
      </c>
      <c r="B19" s="245">
        <v>200</v>
      </c>
      <c r="C19" s="245">
        <v>100</v>
      </c>
      <c r="D19" s="245">
        <v>100</v>
      </c>
      <c r="E19" s="244">
        <v>30</v>
      </c>
      <c r="F19" s="244">
        <v>0</v>
      </c>
      <c r="G19" s="378" t="s">
        <v>3200</v>
      </c>
      <c r="H19" s="45" t="s">
        <v>154</v>
      </c>
      <c r="I19" s="47"/>
      <c r="J19" s="47"/>
      <c r="K19" s="207">
        <v>0</v>
      </c>
      <c r="L19" s="207">
        <v>0</v>
      </c>
    </row>
    <row r="20" spans="1:12" ht="25.5">
      <c r="A20" s="894">
        <v>600</v>
      </c>
      <c r="B20" s="245">
        <v>200</v>
      </c>
      <c r="C20" s="245">
        <v>100</v>
      </c>
      <c r="D20" s="245">
        <v>100</v>
      </c>
      <c r="E20" s="244">
        <v>40</v>
      </c>
      <c r="F20" s="244">
        <v>0</v>
      </c>
      <c r="G20" s="378" t="s">
        <v>3201</v>
      </c>
      <c r="H20" s="45" t="s">
        <v>155</v>
      </c>
      <c r="I20" s="47"/>
      <c r="J20" s="47"/>
      <c r="K20" s="207">
        <v>0</v>
      </c>
      <c r="L20" s="207">
        <v>0</v>
      </c>
    </row>
    <row r="21" spans="1:12" ht="25.5">
      <c r="A21" s="894">
        <v>600</v>
      </c>
      <c r="B21" s="245">
        <v>200</v>
      </c>
      <c r="C21" s="245">
        <v>100</v>
      </c>
      <c r="D21" s="245">
        <v>100</v>
      </c>
      <c r="E21" s="244">
        <v>80</v>
      </c>
      <c r="F21" s="244">
        <v>0</v>
      </c>
      <c r="G21" s="378" t="s">
        <v>3202</v>
      </c>
      <c r="H21" s="45" t="s">
        <v>156</v>
      </c>
      <c r="I21" s="47"/>
      <c r="J21" s="47"/>
      <c r="K21" s="207">
        <v>9736968.7899999991</v>
      </c>
      <c r="L21" s="207">
        <v>70811</v>
      </c>
    </row>
    <row r="22" spans="1:12" ht="25.5">
      <c r="A22" s="894">
        <v>600</v>
      </c>
      <c r="B22" s="245">
        <v>200</v>
      </c>
      <c r="C22" s="245">
        <v>100</v>
      </c>
      <c r="D22" s="245">
        <v>100</v>
      </c>
      <c r="E22" s="244">
        <v>90</v>
      </c>
      <c r="F22" s="244">
        <v>0</v>
      </c>
      <c r="G22" s="378" t="s">
        <v>3203</v>
      </c>
      <c r="H22" s="45" t="s">
        <v>157</v>
      </c>
      <c r="I22" s="47"/>
      <c r="J22" s="47"/>
      <c r="K22" s="207">
        <v>0</v>
      </c>
      <c r="L22" s="207">
        <v>0</v>
      </c>
    </row>
    <row r="23" spans="1:12" ht="38.25">
      <c r="A23" s="894">
        <v>600</v>
      </c>
      <c r="B23" s="245">
        <v>200</v>
      </c>
      <c r="C23" s="245">
        <v>100</v>
      </c>
      <c r="D23" s="244">
        <v>200</v>
      </c>
      <c r="E23" s="244">
        <v>0</v>
      </c>
      <c r="F23" s="244">
        <v>0</v>
      </c>
      <c r="G23" s="378" t="s">
        <v>3204</v>
      </c>
      <c r="H23" s="45" t="s">
        <v>3205</v>
      </c>
      <c r="I23" s="47" t="s">
        <v>158</v>
      </c>
      <c r="J23" s="47"/>
      <c r="K23" s="207">
        <v>0</v>
      </c>
      <c r="L23" s="207">
        <v>0</v>
      </c>
    </row>
    <row r="24" spans="1:12" ht="38.25">
      <c r="A24" s="894">
        <v>600</v>
      </c>
      <c r="B24" s="245">
        <v>200</v>
      </c>
      <c r="C24" s="245">
        <v>100</v>
      </c>
      <c r="D24" s="244">
        <v>300</v>
      </c>
      <c r="E24" s="244">
        <v>0</v>
      </c>
      <c r="F24" s="244">
        <v>0</v>
      </c>
      <c r="G24" s="378" t="s">
        <v>3206</v>
      </c>
      <c r="H24" s="45" t="s">
        <v>3207</v>
      </c>
      <c r="I24" s="47" t="s">
        <v>159</v>
      </c>
      <c r="J24" s="47"/>
      <c r="K24" s="207">
        <v>0</v>
      </c>
      <c r="L24" s="207">
        <v>0</v>
      </c>
    </row>
    <row r="25" spans="1:12" ht="25.5">
      <c r="A25" s="894">
        <v>600</v>
      </c>
      <c r="B25" s="245">
        <v>200</v>
      </c>
      <c r="C25" s="245">
        <v>100</v>
      </c>
      <c r="D25" s="245">
        <v>400</v>
      </c>
      <c r="E25" s="245">
        <v>0</v>
      </c>
      <c r="F25" s="245">
        <v>0</v>
      </c>
      <c r="G25" s="379" t="s">
        <v>3208</v>
      </c>
      <c r="H25" s="45" t="s">
        <v>160</v>
      </c>
      <c r="I25" s="44" t="s">
        <v>161</v>
      </c>
      <c r="J25" s="44"/>
      <c r="K25" s="207">
        <v>0</v>
      </c>
      <c r="L25" s="207">
        <v>0</v>
      </c>
    </row>
    <row r="26" spans="1:12" ht="25.5">
      <c r="A26" s="894">
        <v>600</v>
      </c>
      <c r="B26" s="245">
        <v>200</v>
      </c>
      <c r="C26" s="245">
        <v>200</v>
      </c>
      <c r="D26" s="245">
        <v>0</v>
      </c>
      <c r="E26" s="245">
        <v>0</v>
      </c>
      <c r="F26" s="245">
        <v>0</v>
      </c>
      <c r="G26" s="377" t="s">
        <v>3209</v>
      </c>
      <c r="H26" s="43" t="s">
        <v>162</v>
      </c>
      <c r="I26" s="44" t="s">
        <v>163</v>
      </c>
      <c r="J26" s="44"/>
      <c r="K26" s="208">
        <v>0</v>
      </c>
      <c r="L26" s="208">
        <v>0</v>
      </c>
    </row>
    <row r="27" spans="1:12" ht="25.5">
      <c r="A27" s="894">
        <v>600</v>
      </c>
      <c r="B27" s="245">
        <v>200</v>
      </c>
      <c r="C27" s="245">
        <v>200</v>
      </c>
      <c r="D27" s="245">
        <v>100</v>
      </c>
      <c r="E27" s="245">
        <v>0</v>
      </c>
      <c r="F27" s="245">
        <v>0</v>
      </c>
      <c r="G27" s="379" t="s">
        <v>3210</v>
      </c>
      <c r="H27" s="45" t="s">
        <v>164</v>
      </c>
      <c r="I27" s="44" t="s">
        <v>165</v>
      </c>
      <c r="J27" s="44" t="s">
        <v>1522</v>
      </c>
      <c r="K27" s="207">
        <v>33578.57</v>
      </c>
      <c r="L27" s="207">
        <v>0</v>
      </c>
    </row>
    <row r="28" spans="1:12" ht="25.5">
      <c r="A28" s="894">
        <v>600</v>
      </c>
      <c r="B28" s="245">
        <v>200</v>
      </c>
      <c r="C28" s="245">
        <v>200</v>
      </c>
      <c r="D28" s="245">
        <v>200</v>
      </c>
      <c r="E28" s="245">
        <v>0</v>
      </c>
      <c r="F28" s="245">
        <v>0</v>
      </c>
      <c r="G28" s="379" t="s">
        <v>3211</v>
      </c>
      <c r="H28" s="45" t="s">
        <v>166</v>
      </c>
      <c r="I28" s="44" t="s">
        <v>167</v>
      </c>
      <c r="J28" s="44" t="s">
        <v>1522</v>
      </c>
      <c r="K28" s="207">
        <v>0</v>
      </c>
      <c r="L28" s="207">
        <v>0</v>
      </c>
    </row>
    <row r="29" spans="1:12" ht="25.5">
      <c r="A29" s="894">
        <v>600</v>
      </c>
      <c r="B29" s="245">
        <v>200</v>
      </c>
      <c r="C29" s="245">
        <v>300</v>
      </c>
      <c r="D29" s="245">
        <v>0</v>
      </c>
      <c r="E29" s="245">
        <v>0</v>
      </c>
      <c r="F29" s="245">
        <v>0</v>
      </c>
      <c r="G29" s="377" t="s">
        <v>3212</v>
      </c>
      <c r="H29" s="43" t="s">
        <v>168</v>
      </c>
      <c r="I29" s="44" t="s">
        <v>169</v>
      </c>
      <c r="J29" s="44"/>
      <c r="K29" s="208">
        <v>0</v>
      </c>
      <c r="L29" s="208">
        <v>0</v>
      </c>
    </row>
    <row r="30" spans="1:12">
      <c r="A30" s="894">
        <v>600</v>
      </c>
      <c r="B30" s="245">
        <v>200</v>
      </c>
      <c r="C30" s="245">
        <v>300</v>
      </c>
      <c r="D30" s="245">
        <v>50</v>
      </c>
      <c r="E30" s="245">
        <v>0</v>
      </c>
      <c r="F30" s="245">
        <v>0</v>
      </c>
      <c r="G30" s="377" t="s">
        <v>3213</v>
      </c>
      <c r="H30" s="45" t="s">
        <v>170</v>
      </c>
      <c r="I30" s="149" t="s">
        <v>171</v>
      </c>
      <c r="J30" s="149"/>
      <c r="K30" s="209">
        <v>895214.73</v>
      </c>
      <c r="L30" s="209">
        <v>2275738</v>
      </c>
    </row>
    <row r="31" spans="1:12" ht="25.5">
      <c r="A31" s="894">
        <v>600</v>
      </c>
      <c r="B31" s="245">
        <v>200</v>
      </c>
      <c r="C31" s="245">
        <v>300</v>
      </c>
      <c r="D31" s="245">
        <v>100</v>
      </c>
      <c r="E31" s="245">
        <v>0</v>
      </c>
      <c r="F31" s="245">
        <v>0</v>
      </c>
      <c r="G31" s="377" t="s">
        <v>3214</v>
      </c>
      <c r="H31" s="43" t="s">
        <v>172</v>
      </c>
      <c r="I31" s="44" t="s">
        <v>173</v>
      </c>
      <c r="J31" s="44"/>
      <c r="K31" s="208">
        <v>0</v>
      </c>
      <c r="L31" s="208">
        <v>0</v>
      </c>
    </row>
    <row r="32" spans="1:12">
      <c r="A32" s="894">
        <v>600</v>
      </c>
      <c r="B32" s="245">
        <v>200</v>
      </c>
      <c r="C32" s="245">
        <v>300</v>
      </c>
      <c r="D32" s="245">
        <v>100</v>
      </c>
      <c r="E32" s="244">
        <v>10</v>
      </c>
      <c r="F32" s="244">
        <v>0</v>
      </c>
      <c r="G32" s="378" t="s">
        <v>3215</v>
      </c>
      <c r="H32" s="45" t="s">
        <v>174</v>
      </c>
      <c r="I32" s="47"/>
      <c r="J32" s="47"/>
      <c r="K32" s="207">
        <v>0</v>
      </c>
      <c r="L32" s="207">
        <v>0</v>
      </c>
    </row>
    <row r="33" spans="1:12">
      <c r="A33" s="894">
        <v>600</v>
      </c>
      <c r="B33" s="245">
        <v>200</v>
      </c>
      <c r="C33" s="245">
        <v>300</v>
      </c>
      <c r="D33" s="245">
        <v>100</v>
      </c>
      <c r="E33" s="244">
        <v>20</v>
      </c>
      <c r="F33" s="244">
        <v>0</v>
      </c>
      <c r="G33" s="378" t="s">
        <v>3216</v>
      </c>
      <c r="H33" s="45" t="s">
        <v>175</v>
      </c>
      <c r="I33" s="47"/>
      <c r="J33" s="47"/>
      <c r="K33" s="207">
        <v>0</v>
      </c>
      <c r="L33" s="207">
        <v>0</v>
      </c>
    </row>
    <row r="34" spans="1:12" ht="25.5">
      <c r="A34" s="894">
        <v>600</v>
      </c>
      <c r="B34" s="245">
        <v>200</v>
      </c>
      <c r="C34" s="245">
        <v>300</v>
      </c>
      <c r="D34" s="245">
        <v>100</v>
      </c>
      <c r="E34" s="244">
        <v>30</v>
      </c>
      <c r="F34" s="244">
        <v>0</v>
      </c>
      <c r="G34" s="378" t="s">
        <v>3217</v>
      </c>
      <c r="H34" s="45" t="s">
        <v>176</v>
      </c>
      <c r="I34" s="47"/>
      <c r="J34" s="47"/>
      <c r="K34" s="207">
        <v>0</v>
      </c>
      <c r="L34" s="207">
        <v>0</v>
      </c>
    </row>
    <row r="35" spans="1:12">
      <c r="A35" s="894">
        <v>600</v>
      </c>
      <c r="B35" s="245">
        <v>200</v>
      </c>
      <c r="C35" s="245">
        <v>300</v>
      </c>
      <c r="D35" s="245">
        <v>100</v>
      </c>
      <c r="E35" s="244">
        <v>40</v>
      </c>
      <c r="F35" s="244">
        <v>0</v>
      </c>
      <c r="G35" s="378" t="s">
        <v>3218</v>
      </c>
      <c r="H35" s="45" t="s">
        <v>177</v>
      </c>
      <c r="I35" s="47"/>
      <c r="J35" s="47"/>
      <c r="K35" s="207">
        <v>0</v>
      </c>
      <c r="L35" s="207">
        <v>0</v>
      </c>
    </row>
    <row r="36" spans="1:12" ht="25.5">
      <c r="A36" s="894">
        <v>600</v>
      </c>
      <c r="B36" s="245">
        <v>200</v>
      </c>
      <c r="C36" s="245">
        <v>300</v>
      </c>
      <c r="D36" s="245">
        <v>100</v>
      </c>
      <c r="E36" s="244">
        <v>80</v>
      </c>
      <c r="F36" s="246">
        <v>0</v>
      </c>
      <c r="G36" s="378" t="s">
        <v>3219</v>
      </c>
      <c r="H36" s="45" t="s">
        <v>178</v>
      </c>
      <c r="I36" s="47"/>
      <c r="J36" s="47"/>
      <c r="K36" s="207">
        <v>0</v>
      </c>
      <c r="L36" s="207">
        <v>0</v>
      </c>
    </row>
    <row r="37" spans="1:12" ht="38.25">
      <c r="A37" s="894">
        <v>600</v>
      </c>
      <c r="B37" s="245">
        <v>200</v>
      </c>
      <c r="C37" s="245">
        <v>300</v>
      </c>
      <c r="D37" s="245">
        <v>100</v>
      </c>
      <c r="E37" s="244">
        <v>90</v>
      </c>
      <c r="F37" s="244">
        <v>0</v>
      </c>
      <c r="G37" s="378" t="s">
        <v>3220</v>
      </c>
      <c r="H37" s="45" t="s">
        <v>179</v>
      </c>
      <c r="I37" s="47"/>
      <c r="J37" s="47"/>
      <c r="K37" s="207">
        <v>278594.40000000002</v>
      </c>
      <c r="L37" s="207">
        <v>0</v>
      </c>
    </row>
    <row r="38" spans="1:12" ht="25.5">
      <c r="A38" s="894">
        <v>600</v>
      </c>
      <c r="B38" s="245">
        <v>200</v>
      </c>
      <c r="C38" s="245">
        <v>300</v>
      </c>
      <c r="D38" s="245">
        <v>200</v>
      </c>
      <c r="E38" s="245">
        <v>0</v>
      </c>
      <c r="F38" s="245">
        <v>0</v>
      </c>
      <c r="G38" s="379" t="s">
        <v>3221</v>
      </c>
      <c r="H38" s="45" t="s">
        <v>180</v>
      </c>
      <c r="I38" s="44" t="s">
        <v>181</v>
      </c>
      <c r="J38" s="44"/>
      <c r="K38" s="207">
        <v>0</v>
      </c>
      <c r="L38" s="207">
        <v>0</v>
      </c>
    </row>
    <row r="39" spans="1:12" ht="25.5">
      <c r="A39" s="894">
        <v>600</v>
      </c>
      <c r="B39" s="245">
        <v>200</v>
      </c>
      <c r="C39" s="245">
        <v>300</v>
      </c>
      <c r="D39" s="245">
        <v>300</v>
      </c>
      <c r="E39" s="245">
        <v>0</v>
      </c>
      <c r="F39" s="245">
        <v>0</v>
      </c>
      <c r="G39" s="379" t="s">
        <v>3222</v>
      </c>
      <c r="H39" s="45" t="s">
        <v>182</v>
      </c>
      <c r="I39" s="44" t="s">
        <v>183</v>
      </c>
      <c r="J39" s="44"/>
      <c r="K39" s="207">
        <v>0</v>
      </c>
      <c r="L39" s="207">
        <v>0</v>
      </c>
    </row>
    <row r="40" spans="1:12" ht="51">
      <c r="A40" s="894">
        <v>600</v>
      </c>
      <c r="B40" s="245">
        <v>200</v>
      </c>
      <c r="C40" s="245">
        <v>300</v>
      </c>
      <c r="D40" s="245">
        <v>400</v>
      </c>
      <c r="E40" s="245">
        <v>0</v>
      </c>
      <c r="F40" s="245">
        <v>0</v>
      </c>
      <c r="G40" s="379" t="s">
        <v>3223</v>
      </c>
      <c r="H40" s="45" t="s">
        <v>184</v>
      </c>
      <c r="I40" s="44" t="s">
        <v>185</v>
      </c>
      <c r="J40" s="44"/>
      <c r="K40" s="207">
        <v>0</v>
      </c>
      <c r="L40" s="207">
        <v>0</v>
      </c>
    </row>
    <row r="41" spans="1:12">
      <c r="A41" s="894">
        <v>600</v>
      </c>
      <c r="B41" s="245">
        <v>300</v>
      </c>
      <c r="C41" s="245">
        <v>0</v>
      </c>
      <c r="D41" s="245">
        <v>0</v>
      </c>
      <c r="E41" s="245">
        <v>0</v>
      </c>
      <c r="F41" s="245">
        <v>0</v>
      </c>
      <c r="G41" s="377" t="s">
        <v>3224</v>
      </c>
      <c r="H41" s="43" t="s">
        <v>186</v>
      </c>
      <c r="I41" s="44" t="s">
        <v>187</v>
      </c>
      <c r="J41" s="44"/>
      <c r="K41" s="208">
        <v>0</v>
      </c>
      <c r="L41" s="208">
        <v>0</v>
      </c>
    </row>
    <row r="42" spans="1:12" ht="25.5">
      <c r="A42" s="894">
        <v>600</v>
      </c>
      <c r="B42" s="245">
        <v>300</v>
      </c>
      <c r="C42" s="245">
        <v>100</v>
      </c>
      <c r="D42" s="245">
        <v>0</v>
      </c>
      <c r="E42" s="245">
        <v>0</v>
      </c>
      <c r="F42" s="245">
        <v>0</v>
      </c>
      <c r="G42" s="379" t="s">
        <v>3225</v>
      </c>
      <c r="H42" s="45" t="s">
        <v>188</v>
      </c>
      <c r="I42" s="44" t="s">
        <v>189</v>
      </c>
      <c r="J42" s="44"/>
      <c r="K42" s="207">
        <v>3759035.78</v>
      </c>
      <c r="L42" s="207">
        <v>3568037.65</v>
      </c>
    </row>
    <row r="43" spans="1:12" ht="25.5">
      <c r="A43" s="894">
        <v>600</v>
      </c>
      <c r="B43" s="245">
        <v>300</v>
      </c>
      <c r="C43" s="245">
        <v>200</v>
      </c>
      <c r="D43" s="245">
        <v>0</v>
      </c>
      <c r="E43" s="245">
        <v>0</v>
      </c>
      <c r="F43" s="245">
        <v>0</v>
      </c>
      <c r="G43" s="379" t="s">
        <v>3226</v>
      </c>
      <c r="H43" s="45" t="s">
        <v>190</v>
      </c>
      <c r="I43" s="44" t="s">
        <v>191</v>
      </c>
      <c r="J43" s="44"/>
      <c r="K43" s="207">
        <v>632912</v>
      </c>
      <c r="L43" s="207">
        <v>3726734.05</v>
      </c>
    </row>
    <row r="44" spans="1:12" ht="25.5">
      <c r="A44" s="894">
        <v>600</v>
      </c>
      <c r="B44" s="245">
        <v>300</v>
      </c>
      <c r="C44" s="245">
        <v>300</v>
      </c>
      <c r="D44" s="245">
        <v>0</v>
      </c>
      <c r="E44" s="245">
        <v>0</v>
      </c>
      <c r="F44" s="245">
        <v>0</v>
      </c>
      <c r="G44" s="377" t="s">
        <v>3227</v>
      </c>
      <c r="H44" s="43" t="s">
        <v>192</v>
      </c>
      <c r="I44" s="44" t="s">
        <v>193</v>
      </c>
      <c r="J44" s="44"/>
      <c r="K44" s="210">
        <v>0</v>
      </c>
      <c r="L44" s="210">
        <v>0</v>
      </c>
    </row>
    <row r="45" spans="1:12">
      <c r="A45" s="894">
        <v>600</v>
      </c>
      <c r="B45" s="245">
        <v>300</v>
      </c>
      <c r="C45" s="245">
        <v>300</v>
      </c>
      <c r="D45" s="244">
        <v>100</v>
      </c>
      <c r="E45" s="244">
        <v>0</v>
      </c>
      <c r="F45" s="244">
        <v>0</v>
      </c>
      <c r="G45" s="378" t="s">
        <v>3228</v>
      </c>
      <c r="H45" s="45" t="s">
        <v>194</v>
      </c>
      <c r="I45" s="47"/>
      <c r="J45" s="47"/>
      <c r="K45" s="207">
        <v>181979</v>
      </c>
      <c r="L45" s="207">
        <v>0</v>
      </c>
    </row>
    <row r="46" spans="1:12">
      <c r="A46" s="894">
        <v>600</v>
      </c>
      <c r="B46" s="245">
        <v>300</v>
      </c>
      <c r="C46" s="245">
        <v>300</v>
      </c>
      <c r="D46" s="244">
        <v>900</v>
      </c>
      <c r="E46" s="244">
        <v>0</v>
      </c>
      <c r="F46" s="244">
        <v>0</v>
      </c>
      <c r="G46" s="378" t="s">
        <v>3229</v>
      </c>
      <c r="H46" s="45" t="s">
        <v>195</v>
      </c>
      <c r="I46" s="47"/>
      <c r="J46" s="47"/>
      <c r="K46" s="207">
        <v>2017476.84</v>
      </c>
      <c r="L46" s="207">
        <v>879360.11</v>
      </c>
    </row>
    <row r="47" spans="1:12">
      <c r="A47" s="894">
        <v>600</v>
      </c>
      <c r="B47" s="245">
        <v>300</v>
      </c>
      <c r="C47" s="245">
        <v>400</v>
      </c>
      <c r="D47" s="245">
        <v>0</v>
      </c>
      <c r="E47" s="245">
        <v>0</v>
      </c>
      <c r="F47" s="245">
        <v>0</v>
      </c>
      <c r="G47" s="379" t="s">
        <v>3230</v>
      </c>
      <c r="H47" s="45" t="s">
        <v>196</v>
      </c>
      <c r="I47" s="44" t="s">
        <v>197</v>
      </c>
      <c r="J47" s="44"/>
      <c r="K47" s="207">
        <v>76057.600000000006</v>
      </c>
      <c r="L47" s="207">
        <v>259711.90999999997</v>
      </c>
    </row>
    <row r="48" spans="1:12">
      <c r="A48" s="894">
        <v>600</v>
      </c>
      <c r="B48" s="245">
        <v>400</v>
      </c>
      <c r="C48" s="245">
        <v>0</v>
      </c>
      <c r="D48" s="245">
        <v>0</v>
      </c>
      <c r="E48" s="245">
        <v>0</v>
      </c>
      <c r="F48" s="245">
        <v>0</v>
      </c>
      <c r="G48" s="379" t="s">
        <v>3231</v>
      </c>
      <c r="H48" s="45" t="s">
        <v>198</v>
      </c>
      <c r="I48" s="44" t="s">
        <v>199</v>
      </c>
      <c r="J48" s="44"/>
      <c r="K48" s="207">
        <v>33120</v>
      </c>
      <c r="L48" s="207">
        <v>132496</v>
      </c>
    </row>
    <row r="49" spans="1:12" ht="25.5">
      <c r="A49" s="242">
        <v>610</v>
      </c>
      <c r="B49" s="243">
        <v>0</v>
      </c>
      <c r="C49" s="243">
        <v>0</v>
      </c>
      <c r="D49" s="243">
        <v>0</v>
      </c>
      <c r="E49" s="243">
        <v>0</v>
      </c>
      <c r="F49" s="243">
        <v>0</v>
      </c>
      <c r="G49" s="376">
        <v>610</v>
      </c>
      <c r="H49" s="41" t="s">
        <v>200</v>
      </c>
      <c r="I49" s="42" t="s">
        <v>201</v>
      </c>
      <c r="J49" s="42"/>
      <c r="K49" s="210">
        <v>0</v>
      </c>
      <c r="L49" s="210">
        <v>0</v>
      </c>
    </row>
    <row r="50" spans="1:12" ht="38.25">
      <c r="A50" s="894">
        <v>610</v>
      </c>
      <c r="B50" s="245">
        <v>100</v>
      </c>
      <c r="C50" s="245">
        <v>0</v>
      </c>
      <c r="D50" s="245">
        <v>0</v>
      </c>
      <c r="E50" s="245">
        <v>0</v>
      </c>
      <c r="F50" s="245">
        <v>0</v>
      </c>
      <c r="G50" s="379" t="s">
        <v>3232</v>
      </c>
      <c r="H50" s="45" t="s">
        <v>202</v>
      </c>
      <c r="I50" s="44" t="s">
        <v>203</v>
      </c>
      <c r="J50" s="44"/>
      <c r="K50" s="207">
        <v>-43375.91</v>
      </c>
      <c r="L50" s="207">
        <v>-64953</v>
      </c>
    </row>
    <row r="51" spans="1:12" ht="25.5">
      <c r="A51" s="894">
        <v>610</v>
      </c>
      <c r="B51" s="245">
        <v>200</v>
      </c>
      <c r="C51" s="245">
        <v>0</v>
      </c>
      <c r="D51" s="245">
        <v>0</v>
      </c>
      <c r="E51" s="245">
        <v>0</v>
      </c>
      <c r="F51" s="245">
        <v>0</v>
      </c>
      <c r="G51" s="379" t="s">
        <v>3233</v>
      </c>
      <c r="H51" s="45" t="s">
        <v>204</v>
      </c>
      <c r="I51" s="44" t="s">
        <v>205</v>
      </c>
      <c r="J51" s="44"/>
      <c r="K51" s="207">
        <v>0</v>
      </c>
      <c r="L51" s="207">
        <v>0</v>
      </c>
    </row>
    <row r="52" spans="1:12" ht="25.5">
      <c r="A52" s="242">
        <v>620</v>
      </c>
      <c r="B52" s="243">
        <v>0</v>
      </c>
      <c r="C52" s="243">
        <v>0</v>
      </c>
      <c r="D52" s="243">
        <v>0</v>
      </c>
      <c r="E52" s="243">
        <v>0</v>
      </c>
      <c r="F52" s="243">
        <v>0</v>
      </c>
      <c r="G52" s="376">
        <v>620</v>
      </c>
      <c r="H52" s="41" t="s">
        <v>206</v>
      </c>
      <c r="I52" s="42" t="s">
        <v>207</v>
      </c>
      <c r="J52" s="42"/>
      <c r="K52" s="210">
        <v>0</v>
      </c>
      <c r="L52" s="210">
        <v>0</v>
      </c>
    </row>
    <row r="53" spans="1:12" ht="38.25">
      <c r="A53" s="894">
        <v>620</v>
      </c>
      <c r="B53" s="245">
        <v>50</v>
      </c>
      <c r="C53" s="245">
        <v>0</v>
      </c>
      <c r="D53" s="245">
        <v>0</v>
      </c>
      <c r="E53" s="245">
        <v>0</v>
      </c>
      <c r="F53" s="245">
        <v>0</v>
      </c>
      <c r="G53" s="379" t="s">
        <v>3234</v>
      </c>
      <c r="H53" s="45" t="s">
        <v>208</v>
      </c>
      <c r="I53" s="130" t="s">
        <v>209</v>
      </c>
      <c r="J53" s="130"/>
      <c r="K53" s="214">
        <v>1831693</v>
      </c>
      <c r="L53" s="214">
        <v>100326.39999999999</v>
      </c>
    </row>
    <row r="54" spans="1:12" ht="38.25">
      <c r="A54" s="894">
        <v>620</v>
      </c>
      <c r="B54" s="245">
        <v>100</v>
      </c>
      <c r="C54" s="245">
        <v>0</v>
      </c>
      <c r="D54" s="245">
        <v>0</v>
      </c>
      <c r="E54" s="245">
        <v>0</v>
      </c>
      <c r="F54" s="245">
        <v>0</v>
      </c>
      <c r="G54" s="379" t="s">
        <v>3235</v>
      </c>
      <c r="H54" s="45" t="s">
        <v>210</v>
      </c>
      <c r="I54" s="44" t="s">
        <v>211</v>
      </c>
      <c r="J54" s="44"/>
      <c r="K54" s="207">
        <v>22412</v>
      </c>
      <c r="L54" s="207">
        <v>0</v>
      </c>
    </row>
    <row r="55" spans="1:12" ht="38.25">
      <c r="A55" s="894">
        <v>620</v>
      </c>
      <c r="B55" s="245">
        <v>200</v>
      </c>
      <c r="C55" s="245">
        <v>0</v>
      </c>
      <c r="D55" s="245">
        <v>0</v>
      </c>
      <c r="E55" s="245">
        <v>0</v>
      </c>
      <c r="F55" s="245">
        <v>0</v>
      </c>
      <c r="G55" s="379" t="s">
        <v>3236</v>
      </c>
      <c r="H55" s="45" t="s">
        <v>212</v>
      </c>
      <c r="I55" s="44" t="s">
        <v>213</v>
      </c>
      <c r="J55" s="44"/>
      <c r="K55" s="207">
        <v>2277048.14</v>
      </c>
      <c r="L55" s="207">
        <v>105993</v>
      </c>
    </row>
    <row r="56" spans="1:12" ht="25.5">
      <c r="A56" s="894">
        <v>620</v>
      </c>
      <c r="B56" s="245">
        <v>300</v>
      </c>
      <c r="C56" s="245">
        <v>0</v>
      </c>
      <c r="D56" s="245">
        <v>0</v>
      </c>
      <c r="E56" s="245">
        <v>0</v>
      </c>
      <c r="F56" s="245">
        <v>0</v>
      </c>
      <c r="G56" s="379" t="s">
        <v>3237</v>
      </c>
      <c r="H56" s="45" t="s">
        <v>214</v>
      </c>
      <c r="I56" s="44" t="s">
        <v>215</v>
      </c>
      <c r="J56" s="44"/>
      <c r="K56" s="207">
        <v>4977779.3600000003</v>
      </c>
      <c r="L56" s="207">
        <v>1525482.06</v>
      </c>
    </row>
    <row r="57" spans="1:12" ht="25.5">
      <c r="A57" s="894">
        <v>620</v>
      </c>
      <c r="B57" s="245">
        <v>400</v>
      </c>
      <c r="C57" s="245">
        <v>0</v>
      </c>
      <c r="D57" s="245">
        <v>0</v>
      </c>
      <c r="E57" s="245">
        <v>0</v>
      </c>
      <c r="F57" s="245">
        <v>0</v>
      </c>
      <c r="G57" s="379" t="s">
        <v>3238</v>
      </c>
      <c r="H57" s="45" t="s">
        <v>216</v>
      </c>
      <c r="I57" s="44" t="s">
        <v>217</v>
      </c>
      <c r="J57" s="44"/>
      <c r="K57" s="207">
        <v>123051.8</v>
      </c>
      <c r="L57" s="207">
        <v>617347.70000000007</v>
      </c>
    </row>
    <row r="58" spans="1:12" ht="25.5">
      <c r="A58" s="242">
        <v>630</v>
      </c>
      <c r="B58" s="243">
        <v>0</v>
      </c>
      <c r="C58" s="243">
        <v>0</v>
      </c>
      <c r="D58" s="243">
        <v>0</v>
      </c>
      <c r="E58" s="243">
        <v>0</v>
      </c>
      <c r="F58" s="243">
        <v>0</v>
      </c>
      <c r="G58" s="376">
        <v>630</v>
      </c>
      <c r="H58" s="41" t="s">
        <v>23</v>
      </c>
      <c r="I58" s="42" t="s">
        <v>218</v>
      </c>
      <c r="J58" s="42"/>
      <c r="K58" s="210">
        <v>0</v>
      </c>
      <c r="L58" s="210">
        <v>0</v>
      </c>
    </row>
    <row r="59" spans="1:12" ht="25.5">
      <c r="A59" s="894">
        <v>630</v>
      </c>
      <c r="B59" s="245">
        <v>100</v>
      </c>
      <c r="C59" s="245">
        <v>0</v>
      </c>
      <c r="D59" s="245">
        <v>0</v>
      </c>
      <c r="E59" s="245">
        <v>0</v>
      </c>
      <c r="F59" s="245">
        <v>0</v>
      </c>
      <c r="G59" s="377" t="s">
        <v>3239</v>
      </c>
      <c r="H59" s="43" t="s">
        <v>219</v>
      </c>
      <c r="I59" s="44" t="s">
        <v>220</v>
      </c>
      <c r="J59" s="44"/>
      <c r="K59" s="208">
        <v>0</v>
      </c>
      <c r="L59" s="208">
        <v>0</v>
      </c>
    </row>
    <row r="60" spans="1:12" ht="38.25">
      <c r="A60" s="894">
        <v>630</v>
      </c>
      <c r="B60" s="245">
        <v>100</v>
      </c>
      <c r="C60" s="245">
        <v>100</v>
      </c>
      <c r="D60" s="245">
        <v>0</v>
      </c>
      <c r="E60" s="245">
        <v>0</v>
      </c>
      <c r="F60" s="245">
        <v>0</v>
      </c>
      <c r="G60" s="377" t="s">
        <v>3240</v>
      </c>
      <c r="H60" s="43" t="s">
        <v>221</v>
      </c>
      <c r="I60" s="44" t="s">
        <v>222</v>
      </c>
      <c r="J60" s="44" t="s">
        <v>1522</v>
      </c>
      <c r="K60" s="208">
        <v>0</v>
      </c>
      <c r="L60" s="208">
        <v>0</v>
      </c>
    </row>
    <row r="61" spans="1:12">
      <c r="A61" s="894">
        <v>630</v>
      </c>
      <c r="B61" s="245">
        <v>100</v>
      </c>
      <c r="C61" s="245">
        <v>100</v>
      </c>
      <c r="D61" s="245">
        <v>100</v>
      </c>
      <c r="E61" s="245">
        <v>0</v>
      </c>
      <c r="F61" s="245">
        <v>0</v>
      </c>
      <c r="G61" s="377" t="s">
        <v>3241</v>
      </c>
      <c r="H61" s="43" t="s">
        <v>223</v>
      </c>
      <c r="I61" s="44" t="s">
        <v>224</v>
      </c>
      <c r="J61" s="44" t="s">
        <v>1522</v>
      </c>
      <c r="K61" s="208">
        <v>0</v>
      </c>
      <c r="L61" s="208">
        <v>0</v>
      </c>
    </row>
    <row r="62" spans="1:12" ht="25.5">
      <c r="A62" s="894">
        <v>630</v>
      </c>
      <c r="B62" s="245">
        <v>100</v>
      </c>
      <c r="C62" s="245">
        <v>100</v>
      </c>
      <c r="D62" s="245">
        <v>100</v>
      </c>
      <c r="E62" s="245">
        <v>10</v>
      </c>
      <c r="F62" s="245">
        <v>0</v>
      </c>
      <c r="G62" s="377" t="s">
        <v>3242</v>
      </c>
      <c r="H62" s="45" t="s">
        <v>225</v>
      </c>
      <c r="I62" s="44"/>
      <c r="J62" s="44" t="s">
        <v>1522</v>
      </c>
      <c r="K62" s="211">
        <v>19374716</v>
      </c>
      <c r="L62" s="211">
        <v>19409382.170000002</v>
      </c>
    </row>
    <row r="63" spans="1:12" ht="25.5">
      <c r="A63" s="894">
        <v>630</v>
      </c>
      <c r="B63" s="245">
        <v>100</v>
      </c>
      <c r="C63" s="245">
        <v>100</v>
      </c>
      <c r="D63" s="245">
        <v>100</v>
      </c>
      <c r="E63" s="245">
        <v>20</v>
      </c>
      <c r="F63" s="245">
        <v>0</v>
      </c>
      <c r="G63" s="377" t="s">
        <v>3243</v>
      </c>
      <c r="H63" s="45" t="s">
        <v>226</v>
      </c>
      <c r="I63" s="44"/>
      <c r="J63" s="44" t="s">
        <v>1522</v>
      </c>
      <c r="K63" s="211">
        <v>129823.88</v>
      </c>
      <c r="L63" s="211">
        <v>414052.8</v>
      </c>
    </row>
    <row r="64" spans="1:12">
      <c r="A64" s="894">
        <v>630</v>
      </c>
      <c r="B64" s="245">
        <v>100</v>
      </c>
      <c r="C64" s="245">
        <v>100</v>
      </c>
      <c r="D64" s="245">
        <v>200</v>
      </c>
      <c r="E64" s="245">
        <v>0</v>
      </c>
      <c r="F64" s="245">
        <v>0</v>
      </c>
      <c r="G64" s="377" t="s">
        <v>3244</v>
      </c>
      <c r="H64" s="43" t="s">
        <v>227</v>
      </c>
      <c r="I64" s="44" t="s">
        <v>228</v>
      </c>
      <c r="J64" s="44" t="s">
        <v>1522</v>
      </c>
      <c r="K64" s="208">
        <v>0</v>
      </c>
      <c r="L64" s="208">
        <v>0</v>
      </c>
    </row>
    <row r="65" spans="1:12" ht="25.5">
      <c r="A65" s="894">
        <v>630</v>
      </c>
      <c r="B65" s="245">
        <v>100</v>
      </c>
      <c r="C65" s="245">
        <v>100</v>
      </c>
      <c r="D65" s="245">
        <v>200</v>
      </c>
      <c r="E65" s="244">
        <v>10</v>
      </c>
      <c r="F65" s="244">
        <v>0</v>
      </c>
      <c r="G65" s="378" t="s">
        <v>3245</v>
      </c>
      <c r="H65" s="45" t="s">
        <v>229</v>
      </c>
      <c r="I65" s="47"/>
      <c r="J65" s="47" t="s">
        <v>1522</v>
      </c>
      <c r="K65" s="207">
        <v>6435228</v>
      </c>
      <c r="L65" s="207">
        <v>6307071.7699999996</v>
      </c>
    </row>
    <row r="66" spans="1:12" ht="25.5">
      <c r="A66" s="894">
        <v>630</v>
      </c>
      <c r="B66" s="245">
        <v>100</v>
      </c>
      <c r="C66" s="245">
        <v>100</v>
      </c>
      <c r="D66" s="245">
        <v>200</v>
      </c>
      <c r="E66" s="244">
        <v>20</v>
      </c>
      <c r="F66" s="244">
        <v>0</v>
      </c>
      <c r="G66" s="378" t="s">
        <v>3246</v>
      </c>
      <c r="H66" s="45" t="s">
        <v>230</v>
      </c>
      <c r="I66" s="47"/>
      <c r="J66" s="47" t="s">
        <v>1522</v>
      </c>
      <c r="K66" s="207">
        <v>1163920.99</v>
      </c>
      <c r="L66" s="207">
        <v>1008204.95</v>
      </c>
    </row>
    <row r="67" spans="1:12">
      <c r="A67" s="894">
        <v>630</v>
      </c>
      <c r="B67" s="245">
        <v>100</v>
      </c>
      <c r="C67" s="245">
        <v>100</v>
      </c>
      <c r="D67" s="245">
        <v>250</v>
      </c>
      <c r="E67" s="245">
        <v>0</v>
      </c>
      <c r="F67" s="245">
        <v>0</v>
      </c>
      <c r="G67" s="377" t="s">
        <v>3247</v>
      </c>
      <c r="H67" s="43" t="s">
        <v>2093</v>
      </c>
      <c r="I67" s="44" t="s">
        <v>231</v>
      </c>
      <c r="J67" s="44" t="s">
        <v>1522</v>
      </c>
      <c r="K67" s="207">
        <v>0</v>
      </c>
      <c r="L67" s="207">
        <v>0</v>
      </c>
    </row>
    <row r="68" spans="1:12" ht="25.5">
      <c r="A68" s="894">
        <v>630</v>
      </c>
      <c r="B68" s="245">
        <v>100</v>
      </c>
      <c r="C68" s="245">
        <v>100</v>
      </c>
      <c r="D68" s="245">
        <v>300</v>
      </c>
      <c r="E68" s="245">
        <v>0</v>
      </c>
      <c r="F68" s="245">
        <v>0</v>
      </c>
      <c r="G68" s="379" t="s">
        <v>3248</v>
      </c>
      <c r="H68" s="45" t="s">
        <v>232</v>
      </c>
      <c r="I68" s="44" t="s">
        <v>233</v>
      </c>
      <c r="J68" s="44" t="s">
        <v>1522</v>
      </c>
      <c r="K68" s="207">
        <v>0</v>
      </c>
      <c r="L68" s="207">
        <v>0</v>
      </c>
    </row>
    <row r="69" spans="1:12">
      <c r="A69" s="894">
        <v>630</v>
      </c>
      <c r="B69" s="245">
        <v>100</v>
      </c>
      <c r="C69" s="245">
        <v>100</v>
      </c>
      <c r="D69" s="245">
        <v>400</v>
      </c>
      <c r="E69" s="245">
        <v>0</v>
      </c>
      <c r="F69" s="245">
        <v>0</v>
      </c>
      <c r="G69" s="379" t="s">
        <v>3249</v>
      </c>
      <c r="H69" s="45" t="s">
        <v>234</v>
      </c>
      <c r="I69" s="44" t="s">
        <v>235</v>
      </c>
      <c r="J69" s="44" t="s">
        <v>1522</v>
      </c>
      <c r="K69" s="207">
        <v>460406</v>
      </c>
      <c r="L69" s="207">
        <v>465384.78</v>
      </c>
    </row>
    <row r="70" spans="1:12" ht="25.5">
      <c r="A70" s="894">
        <v>630</v>
      </c>
      <c r="B70" s="245">
        <v>100</v>
      </c>
      <c r="C70" s="245">
        <v>100</v>
      </c>
      <c r="D70" s="245">
        <v>500</v>
      </c>
      <c r="E70" s="245">
        <v>0</v>
      </c>
      <c r="F70" s="245">
        <v>0</v>
      </c>
      <c r="G70" s="379" t="s">
        <v>3250</v>
      </c>
      <c r="H70" s="45" t="s">
        <v>236</v>
      </c>
      <c r="I70" s="44" t="s">
        <v>237</v>
      </c>
      <c r="J70" s="44" t="s">
        <v>1522</v>
      </c>
      <c r="K70" s="207">
        <v>0</v>
      </c>
      <c r="L70" s="207">
        <v>0</v>
      </c>
    </row>
    <row r="71" spans="1:12">
      <c r="A71" s="894">
        <v>630</v>
      </c>
      <c r="B71" s="245">
        <v>100</v>
      </c>
      <c r="C71" s="245">
        <v>100</v>
      </c>
      <c r="D71" s="245">
        <v>600</v>
      </c>
      <c r="E71" s="245">
        <v>0</v>
      </c>
      <c r="F71" s="245">
        <v>0</v>
      </c>
      <c r="G71" s="379" t="s">
        <v>3251</v>
      </c>
      <c r="H71" s="45" t="s">
        <v>238</v>
      </c>
      <c r="I71" s="44" t="s">
        <v>239</v>
      </c>
      <c r="J71" s="44" t="s">
        <v>1522</v>
      </c>
      <c r="K71" s="207">
        <v>0</v>
      </c>
      <c r="L71" s="207">
        <v>0</v>
      </c>
    </row>
    <row r="72" spans="1:12">
      <c r="A72" s="894">
        <v>630</v>
      </c>
      <c r="B72" s="245">
        <v>100</v>
      </c>
      <c r="C72" s="245">
        <v>100</v>
      </c>
      <c r="D72" s="245">
        <v>700</v>
      </c>
      <c r="E72" s="245">
        <v>0</v>
      </c>
      <c r="F72" s="245">
        <v>0</v>
      </c>
      <c r="G72" s="379" t="s">
        <v>3252</v>
      </c>
      <c r="H72" s="45" t="s">
        <v>240</v>
      </c>
      <c r="I72" s="44" t="s">
        <v>241</v>
      </c>
      <c r="J72" s="44" t="s">
        <v>1522</v>
      </c>
      <c r="K72" s="207">
        <v>0</v>
      </c>
      <c r="L72" s="207">
        <v>0</v>
      </c>
    </row>
    <row r="73" spans="1:12">
      <c r="A73" s="894">
        <v>630</v>
      </c>
      <c r="B73" s="245">
        <v>100</v>
      </c>
      <c r="C73" s="245">
        <v>100</v>
      </c>
      <c r="D73" s="245">
        <v>800</v>
      </c>
      <c r="E73" s="245">
        <v>0</v>
      </c>
      <c r="F73" s="245">
        <v>0</v>
      </c>
      <c r="G73" s="379" t="s">
        <v>3253</v>
      </c>
      <c r="H73" s="45" t="s">
        <v>242</v>
      </c>
      <c r="I73" s="44" t="s">
        <v>243</v>
      </c>
      <c r="J73" s="44" t="s">
        <v>1522</v>
      </c>
      <c r="K73" s="207">
        <v>0</v>
      </c>
      <c r="L73" s="207">
        <v>0</v>
      </c>
    </row>
    <row r="74" spans="1:12">
      <c r="A74" s="894">
        <v>630</v>
      </c>
      <c r="B74" s="245">
        <v>100</v>
      </c>
      <c r="C74" s="245">
        <v>100</v>
      </c>
      <c r="D74" s="245">
        <v>810</v>
      </c>
      <c r="E74" s="245">
        <v>0</v>
      </c>
      <c r="F74" s="245">
        <v>0</v>
      </c>
      <c r="G74" s="379" t="s">
        <v>3254</v>
      </c>
      <c r="H74" s="45" t="s">
        <v>244</v>
      </c>
      <c r="I74" s="44" t="s">
        <v>245</v>
      </c>
      <c r="J74" s="44" t="s">
        <v>1522</v>
      </c>
      <c r="K74" s="207">
        <v>0</v>
      </c>
      <c r="L74" s="207">
        <v>0</v>
      </c>
    </row>
    <row r="75" spans="1:12">
      <c r="A75" s="894">
        <v>630</v>
      </c>
      <c r="B75" s="245">
        <v>100</v>
      </c>
      <c r="C75" s="245">
        <v>100</v>
      </c>
      <c r="D75" s="245">
        <v>820</v>
      </c>
      <c r="E75" s="245">
        <v>0</v>
      </c>
      <c r="F75" s="245">
        <v>0</v>
      </c>
      <c r="G75" s="379" t="s">
        <v>3255</v>
      </c>
      <c r="H75" s="45" t="s">
        <v>246</v>
      </c>
      <c r="I75" s="44" t="s">
        <v>247</v>
      </c>
      <c r="J75" s="44" t="s">
        <v>1522</v>
      </c>
      <c r="K75" s="207">
        <v>0</v>
      </c>
      <c r="L75" s="207">
        <v>0</v>
      </c>
    </row>
    <row r="76" spans="1:12" ht="25.5">
      <c r="A76" s="894">
        <v>630</v>
      </c>
      <c r="B76" s="245">
        <v>100</v>
      </c>
      <c r="C76" s="245">
        <v>100</v>
      </c>
      <c r="D76" s="245">
        <v>830</v>
      </c>
      <c r="E76" s="245">
        <v>0</v>
      </c>
      <c r="F76" s="245">
        <v>0</v>
      </c>
      <c r="G76" s="379" t="s">
        <v>3256</v>
      </c>
      <c r="H76" s="45" t="s">
        <v>248</v>
      </c>
      <c r="I76" s="44" t="s">
        <v>249</v>
      </c>
      <c r="J76" s="44" t="s">
        <v>1522</v>
      </c>
      <c r="K76" s="207">
        <v>0</v>
      </c>
      <c r="L76" s="207">
        <v>0</v>
      </c>
    </row>
    <row r="77" spans="1:12" ht="25.5">
      <c r="A77" s="894">
        <v>630</v>
      </c>
      <c r="B77" s="245">
        <v>100</v>
      </c>
      <c r="C77" s="245">
        <v>100</v>
      </c>
      <c r="D77" s="245">
        <v>840</v>
      </c>
      <c r="E77" s="245">
        <v>0</v>
      </c>
      <c r="F77" s="245">
        <v>0</v>
      </c>
      <c r="G77" s="379" t="s">
        <v>3257</v>
      </c>
      <c r="H77" s="45" t="s">
        <v>250</v>
      </c>
      <c r="I77" s="44" t="s">
        <v>251</v>
      </c>
      <c r="J77" s="44" t="s">
        <v>1522</v>
      </c>
      <c r="K77" s="207">
        <v>0</v>
      </c>
      <c r="L77" s="207">
        <v>0</v>
      </c>
    </row>
    <row r="78" spans="1:12">
      <c r="A78" s="894">
        <v>630</v>
      </c>
      <c r="B78" s="245">
        <v>100</v>
      </c>
      <c r="C78" s="245">
        <v>100</v>
      </c>
      <c r="D78" s="245">
        <v>850</v>
      </c>
      <c r="E78" s="245">
        <v>0</v>
      </c>
      <c r="F78" s="245">
        <v>0</v>
      </c>
      <c r="G78" s="379" t="s">
        <v>3258</v>
      </c>
      <c r="H78" s="45" t="s">
        <v>252</v>
      </c>
      <c r="I78" s="44" t="s">
        <v>253</v>
      </c>
      <c r="J78" s="44" t="s">
        <v>1522</v>
      </c>
      <c r="K78" s="207">
        <v>0</v>
      </c>
      <c r="L78" s="207">
        <v>0</v>
      </c>
    </row>
    <row r="79" spans="1:12" ht="25.5">
      <c r="A79" s="894">
        <v>630</v>
      </c>
      <c r="B79" s="245">
        <v>100</v>
      </c>
      <c r="C79" s="245">
        <v>100</v>
      </c>
      <c r="D79" s="245">
        <v>900</v>
      </c>
      <c r="E79" s="245">
        <v>0</v>
      </c>
      <c r="F79" s="245">
        <v>0</v>
      </c>
      <c r="G79" s="377" t="s">
        <v>3259</v>
      </c>
      <c r="H79" s="43" t="s">
        <v>254</v>
      </c>
      <c r="I79" s="44" t="s">
        <v>255</v>
      </c>
      <c r="J79" s="44" t="s">
        <v>1522</v>
      </c>
      <c r="K79" s="208">
        <v>0</v>
      </c>
      <c r="L79" s="208">
        <v>0</v>
      </c>
    </row>
    <row r="80" spans="1:12">
      <c r="A80" s="894">
        <v>630</v>
      </c>
      <c r="B80" s="245">
        <v>100</v>
      </c>
      <c r="C80" s="245">
        <v>100</v>
      </c>
      <c r="D80" s="245">
        <v>900</v>
      </c>
      <c r="E80" s="245">
        <v>10</v>
      </c>
      <c r="F80" s="245">
        <v>0</v>
      </c>
      <c r="G80" s="379" t="s">
        <v>3260</v>
      </c>
      <c r="H80" s="45" t="s">
        <v>256</v>
      </c>
      <c r="I80" s="44"/>
      <c r="J80" s="44" t="s">
        <v>1522</v>
      </c>
      <c r="K80" s="207">
        <v>10168.83</v>
      </c>
      <c r="L80" s="207">
        <v>15023.51</v>
      </c>
    </row>
    <row r="81" spans="1:12" ht="25.5">
      <c r="A81" s="894">
        <v>630</v>
      </c>
      <c r="B81" s="245">
        <v>100</v>
      </c>
      <c r="C81" s="245">
        <v>100</v>
      </c>
      <c r="D81" s="245">
        <v>900</v>
      </c>
      <c r="E81" s="245">
        <v>90</v>
      </c>
      <c r="F81" s="245">
        <v>0</v>
      </c>
      <c r="G81" s="379" t="s">
        <v>3261</v>
      </c>
      <c r="H81" s="45" t="s">
        <v>254</v>
      </c>
      <c r="I81" s="44"/>
      <c r="J81" s="44" t="s">
        <v>1522</v>
      </c>
      <c r="K81" s="207">
        <v>224221.99</v>
      </c>
      <c r="L81" s="207">
        <v>223050.51</v>
      </c>
    </row>
    <row r="82" spans="1:12" ht="38.25">
      <c r="A82" s="894">
        <v>630</v>
      </c>
      <c r="B82" s="245">
        <v>100</v>
      </c>
      <c r="C82" s="245">
        <v>200</v>
      </c>
      <c r="D82" s="245">
        <v>0</v>
      </c>
      <c r="E82" s="245">
        <v>0</v>
      </c>
      <c r="F82" s="245">
        <v>0</v>
      </c>
      <c r="G82" s="379" t="s">
        <v>3262</v>
      </c>
      <c r="H82" s="45" t="s">
        <v>257</v>
      </c>
      <c r="I82" s="44" t="s">
        <v>258</v>
      </c>
      <c r="J82" s="44"/>
      <c r="K82" s="207">
        <v>0</v>
      </c>
      <c r="L82" s="207">
        <v>0</v>
      </c>
    </row>
    <row r="83" spans="1:12" ht="38.25">
      <c r="A83" s="894">
        <v>630</v>
      </c>
      <c r="B83" s="245">
        <v>100</v>
      </c>
      <c r="C83" s="245">
        <v>300</v>
      </c>
      <c r="D83" s="245">
        <v>0</v>
      </c>
      <c r="E83" s="245">
        <v>0</v>
      </c>
      <c r="F83" s="245">
        <v>0</v>
      </c>
      <c r="G83" s="377" t="s">
        <v>3263</v>
      </c>
      <c r="H83" s="43" t="s">
        <v>259</v>
      </c>
      <c r="I83" s="44" t="s">
        <v>260</v>
      </c>
      <c r="J83" s="44"/>
      <c r="K83" s="208">
        <v>0</v>
      </c>
      <c r="L83" s="208">
        <v>0</v>
      </c>
    </row>
    <row r="84" spans="1:12">
      <c r="A84" s="894">
        <v>630</v>
      </c>
      <c r="B84" s="245">
        <v>100</v>
      </c>
      <c r="C84" s="245">
        <v>300</v>
      </c>
      <c r="D84" s="245">
        <v>100</v>
      </c>
      <c r="E84" s="245">
        <v>0</v>
      </c>
      <c r="F84" s="245">
        <v>0</v>
      </c>
      <c r="G84" s="377" t="s">
        <v>3264</v>
      </c>
      <c r="H84" s="43" t="s">
        <v>223</v>
      </c>
      <c r="I84" s="44" t="s">
        <v>261</v>
      </c>
      <c r="J84" s="44" t="s">
        <v>1567</v>
      </c>
      <c r="K84" s="208">
        <v>0</v>
      </c>
      <c r="L84" s="208">
        <v>0</v>
      </c>
    </row>
    <row r="85" spans="1:12" ht="25.5">
      <c r="A85" s="894">
        <v>630</v>
      </c>
      <c r="B85" s="245">
        <v>100</v>
      </c>
      <c r="C85" s="245">
        <v>300</v>
      </c>
      <c r="D85" s="245">
        <v>100</v>
      </c>
      <c r="E85" s="244">
        <v>10</v>
      </c>
      <c r="F85" s="244">
        <v>0</v>
      </c>
      <c r="G85" s="378" t="s">
        <v>3265</v>
      </c>
      <c r="H85" s="45" t="s">
        <v>262</v>
      </c>
      <c r="I85" s="47"/>
      <c r="J85" s="47" t="s">
        <v>1567</v>
      </c>
      <c r="K85" s="207">
        <v>3631354.38</v>
      </c>
      <c r="L85" s="207">
        <v>3278672.04</v>
      </c>
    </row>
    <row r="86" spans="1:12">
      <c r="A86" s="894">
        <v>630</v>
      </c>
      <c r="B86" s="245">
        <v>100</v>
      </c>
      <c r="C86" s="245">
        <v>300</v>
      </c>
      <c r="D86" s="245">
        <v>150</v>
      </c>
      <c r="E86" s="245">
        <v>0</v>
      </c>
      <c r="F86" s="245">
        <v>0</v>
      </c>
      <c r="G86" s="377" t="s">
        <v>3267</v>
      </c>
      <c r="H86" s="43" t="s">
        <v>263</v>
      </c>
      <c r="I86" s="44" t="s">
        <v>264</v>
      </c>
      <c r="J86" s="44" t="s">
        <v>1567</v>
      </c>
      <c r="K86" s="208">
        <v>0</v>
      </c>
      <c r="L86" s="208">
        <v>0</v>
      </c>
    </row>
    <row r="87" spans="1:12" ht="25.5">
      <c r="A87" s="894">
        <v>630</v>
      </c>
      <c r="B87" s="245">
        <v>100</v>
      </c>
      <c r="C87" s="245">
        <v>300</v>
      </c>
      <c r="D87" s="245">
        <v>150</v>
      </c>
      <c r="E87" s="244">
        <v>100</v>
      </c>
      <c r="F87" s="244">
        <v>0</v>
      </c>
      <c r="G87" s="378" t="s">
        <v>3268</v>
      </c>
      <c r="H87" s="45" t="s">
        <v>265</v>
      </c>
      <c r="I87" s="47"/>
      <c r="J87" s="47" t="s">
        <v>1567</v>
      </c>
      <c r="K87" s="207">
        <v>1727213.11</v>
      </c>
      <c r="L87" s="207">
        <v>1363759.02</v>
      </c>
    </row>
    <row r="88" spans="1:12" ht="25.5">
      <c r="A88" s="894">
        <v>630</v>
      </c>
      <c r="B88" s="245">
        <v>100</v>
      </c>
      <c r="C88" s="245">
        <v>300</v>
      </c>
      <c r="D88" s="245">
        <v>160</v>
      </c>
      <c r="E88" s="244">
        <v>0</v>
      </c>
      <c r="F88" s="244">
        <v>0</v>
      </c>
      <c r="G88" s="378" t="s">
        <v>3270</v>
      </c>
      <c r="H88" s="45" t="s">
        <v>266</v>
      </c>
      <c r="I88" s="44" t="s">
        <v>267</v>
      </c>
      <c r="J88" s="44" t="s">
        <v>1567</v>
      </c>
      <c r="K88" s="207"/>
      <c r="L88" s="207"/>
    </row>
    <row r="89" spans="1:12" ht="25.5">
      <c r="A89" s="894">
        <v>630</v>
      </c>
      <c r="B89" s="245">
        <v>100</v>
      </c>
      <c r="C89" s="245">
        <v>300</v>
      </c>
      <c r="D89" s="245">
        <v>200</v>
      </c>
      <c r="E89" s="245">
        <v>0</v>
      </c>
      <c r="F89" s="245">
        <v>0</v>
      </c>
      <c r="G89" s="379" t="s">
        <v>3271</v>
      </c>
      <c r="H89" s="45" t="s">
        <v>268</v>
      </c>
      <c r="I89" s="44" t="s">
        <v>269</v>
      </c>
      <c r="J89" s="44" t="s">
        <v>1571</v>
      </c>
      <c r="K89" s="207">
        <v>0</v>
      </c>
      <c r="L89" s="207">
        <v>0</v>
      </c>
    </row>
    <row r="90" spans="1:12">
      <c r="A90" s="894">
        <v>630</v>
      </c>
      <c r="B90" s="245">
        <v>100</v>
      </c>
      <c r="C90" s="245">
        <v>300</v>
      </c>
      <c r="D90" s="245">
        <v>250</v>
      </c>
      <c r="E90" s="245">
        <v>0</v>
      </c>
      <c r="F90" s="245">
        <v>0</v>
      </c>
      <c r="G90" s="379" t="s">
        <v>3272</v>
      </c>
      <c r="H90" s="45" t="s">
        <v>234</v>
      </c>
      <c r="I90" s="44" t="s">
        <v>270</v>
      </c>
      <c r="J90" s="44" t="s">
        <v>1567</v>
      </c>
      <c r="K90" s="207">
        <v>218081.38</v>
      </c>
      <c r="L90" s="207">
        <v>25273.46</v>
      </c>
    </row>
    <row r="91" spans="1:12" ht="25.5">
      <c r="A91" s="894">
        <v>630</v>
      </c>
      <c r="B91" s="245">
        <v>100</v>
      </c>
      <c r="C91" s="245">
        <v>300</v>
      </c>
      <c r="D91" s="245">
        <v>300</v>
      </c>
      <c r="E91" s="245">
        <v>0</v>
      </c>
      <c r="F91" s="245">
        <v>0</v>
      </c>
      <c r="G91" s="379" t="s">
        <v>3273</v>
      </c>
      <c r="H91" s="45" t="s">
        <v>271</v>
      </c>
      <c r="I91" s="44" t="s">
        <v>272</v>
      </c>
      <c r="J91" s="44" t="s">
        <v>1567</v>
      </c>
      <c r="K91" s="207">
        <v>0</v>
      </c>
      <c r="L91" s="207">
        <v>0</v>
      </c>
    </row>
    <row r="92" spans="1:12" ht="25.5">
      <c r="A92" s="894">
        <v>630</v>
      </c>
      <c r="B92" s="245">
        <v>100</v>
      </c>
      <c r="C92" s="245">
        <v>300</v>
      </c>
      <c r="D92" s="245">
        <v>350</v>
      </c>
      <c r="E92" s="245">
        <v>0</v>
      </c>
      <c r="F92" s="245">
        <v>0</v>
      </c>
      <c r="G92" s="379" t="s">
        <v>3274</v>
      </c>
      <c r="H92" s="45" t="s">
        <v>273</v>
      </c>
      <c r="I92" s="44" t="s">
        <v>274</v>
      </c>
      <c r="J92" s="44" t="s">
        <v>1567</v>
      </c>
      <c r="K92" s="207"/>
      <c r="L92" s="207"/>
    </row>
    <row r="93" spans="1:12">
      <c r="A93" s="894">
        <v>630</v>
      </c>
      <c r="B93" s="245">
        <v>100</v>
      </c>
      <c r="C93" s="245">
        <v>300</v>
      </c>
      <c r="D93" s="245">
        <v>400</v>
      </c>
      <c r="E93" s="245">
        <v>0</v>
      </c>
      <c r="F93" s="245">
        <v>0</v>
      </c>
      <c r="G93" s="379" t="s">
        <v>3275</v>
      </c>
      <c r="H93" s="45" t="s">
        <v>275</v>
      </c>
      <c r="I93" s="44" t="s">
        <v>276</v>
      </c>
      <c r="J93" s="44" t="s">
        <v>1567</v>
      </c>
      <c r="K93" s="207">
        <v>0</v>
      </c>
      <c r="L93" s="207">
        <v>0</v>
      </c>
    </row>
    <row r="94" spans="1:12" ht="25.5">
      <c r="A94" s="894">
        <v>630</v>
      </c>
      <c r="B94" s="245">
        <v>100</v>
      </c>
      <c r="C94" s="245">
        <v>300</v>
      </c>
      <c r="D94" s="245">
        <v>450</v>
      </c>
      <c r="E94" s="245">
        <v>0</v>
      </c>
      <c r="F94" s="245">
        <v>0</v>
      </c>
      <c r="G94" s="379" t="s">
        <v>3276</v>
      </c>
      <c r="H94" s="45" t="s">
        <v>277</v>
      </c>
      <c r="I94" s="44" t="s">
        <v>278</v>
      </c>
      <c r="J94" s="44" t="s">
        <v>1567</v>
      </c>
      <c r="K94" s="207">
        <v>0</v>
      </c>
      <c r="L94" s="207">
        <v>0</v>
      </c>
    </row>
    <row r="95" spans="1:12" ht="25.5">
      <c r="A95" s="894">
        <v>630</v>
      </c>
      <c r="B95" s="245">
        <v>100</v>
      </c>
      <c r="C95" s="245">
        <v>300</v>
      </c>
      <c r="D95" s="245">
        <v>510</v>
      </c>
      <c r="E95" s="245">
        <v>0</v>
      </c>
      <c r="F95" s="245">
        <v>0</v>
      </c>
      <c r="G95" s="379" t="s">
        <v>3277</v>
      </c>
      <c r="H95" s="45" t="s">
        <v>279</v>
      </c>
      <c r="I95" s="44" t="s">
        <v>280</v>
      </c>
      <c r="J95" s="44" t="s">
        <v>1571</v>
      </c>
      <c r="K95" s="207">
        <v>0</v>
      </c>
      <c r="L95" s="207">
        <v>0</v>
      </c>
    </row>
    <row r="96" spans="1:12" ht="25.5">
      <c r="A96" s="894">
        <v>630</v>
      </c>
      <c r="B96" s="245">
        <v>100</v>
      </c>
      <c r="C96" s="245">
        <v>300</v>
      </c>
      <c r="D96" s="245">
        <v>520</v>
      </c>
      <c r="E96" s="245">
        <v>0</v>
      </c>
      <c r="F96" s="245">
        <v>0</v>
      </c>
      <c r="G96" s="379" t="s">
        <v>3278</v>
      </c>
      <c r="H96" s="45" t="s">
        <v>281</v>
      </c>
      <c r="I96" s="44" t="s">
        <v>282</v>
      </c>
      <c r="J96" s="44" t="s">
        <v>1571</v>
      </c>
      <c r="K96" s="207">
        <v>0</v>
      </c>
      <c r="L96" s="207">
        <v>0</v>
      </c>
    </row>
    <row r="97" spans="1:12" ht="25.5">
      <c r="A97" s="894">
        <v>630</v>
      </c>
      <c r="B97" s="245">
        <v>100</v>
      </c>
      <c r="C97" s="245">
        <v>300</v>
      </c>
      <c r="D97" s="245">
        <v>550</v>
      </c>
      <c r="E97" s="245">
        <v>0</v>
      </c>
      <c r="F97" s="245">
        <v>0</v>
      </c>
      <c r="G97" s="379" t="s">
        <v>3279</v>
      </c>
      <c r="H97" s="45" t="s">
        <v>283</v>
      </c>
      <c r="I97" s="44" t="s">
        <v>284</v>
      </c>
      <c r="J97" s="44" t="s">
        <v>1567</v>
      </c>
      <c r="K97" s="207">
        <v>0</v>
      </c>
      <c r="L97" s="207">
        <v>0</v>
      </c>
    </row>
    <row r="98" spans="1:12" ht="25.5">
      <c r="A98" s="894">
        <v>630</v>
      </c>
      <c r="B98" s="245">
        <v>100</v>
      </c>
      <c r="C98" s="245">
        <v>300</v>
      </c>
      <c r="D98" s="245">
        <v>600</v>
      </c>
      <c r="E98" s="245">
        <v>0</v>
      </c>
      <c r="F98" s="245">
        <v>0</v>
      </c>
      <c r="G98" s="379" t="s">
        <v>3280</v>
      </c>
      <c r="H98" s="45" t="s">
        <v>286</v>
      </c>
      <c r="I98" s="44" t="s">
        <v>285</v>
      </c>
      <c r="J98" s="44" t="s">
        <v>1567</v>
      </c>
      <c r="K98" s="207">
        <v>0</v>
      </c>
      <c r="L98" s="207">
        <v>0</v>
      </c>
    </row>
    <row r="99" spans="1:12" ht="38.25">
      <c r="A99" s="894">
        <v>630</v>
      </c>
      <c r="B99" s="245">
        <v>100</v>
      </c>
      <c r="C99" s="245">
        <v>300</v>
      </c>
      <c r="D99" s="245">
        <v>610</v>
      </c>
      <c r="E99" s="245">
        <v>0</v>
      </c>
      <c r="F99" s="245">
        <v>0</v>
      </c>
      <c r="G99" s="379" t="s">
        <v>3281</v>
      </c>
      <c r="H99" s="45" t="s">
        <v>287</v>
      </c>
      <c r="I99" s="44" t="s">
        <v>288</v>
      </c>
      <c r="J99" s="44" t="s">
        <v>1567</v>
      </c>
      <c r="K99" s="207">
        <v>0</v>
      </c>
      <c r="L99" s="207">
        <v>0</v>
      </c>
    </row>
    <row r="100" spans="1:12" ht="25.5">
      <c r="A100" s="894">
        <v>630</v>
      </c>
      <c r="B100" s="245">
        <v>100</v>
      </c>
      <c r="C100" s="245">
        <v>300</v>
      </c>
      <c r="D100" s="245">
        <v>650</v>
      </c>
      <c r="E100" s="245">
        <v>0</v>
      </c>
      <c r="F100" s="245">
        <v>0</v>
      </c>
      <c r="G100" s="377" t="s">
        <v>3282</v>
      </c>
      <c r="H100" s="43" t="s">
        <v>289</v>
      </c>
      <c r="I100" s="44" t="s">
        <v>290</v>
      </c>
      <c r="J100" s="44" t="s">
        <v>1571</v>
      </c>
      <c r="K100" s="208">
        <v>0</v>
      </c>
      <c r="L100" s="208">
        <v>0</v>
      </c>
    </row>
    <row r="101" spans="1:12" ht="25.5">
      <c r="A101" s="894">
        <v>630</v>
      </c>
      <c r="B101" s="245">
        <v>100</v>
      </c>
      <c r="C101" s="245">
        <v>300</v>
      </c>
      <c r="D101" s="245">
        <v>650</v>
      </c>
      <c r="E101" s="245">
        <v>10</v>
      </c>
      <c r="F101" s="245">
        <v>0</v>
      </c>
      <c r="G101" s="379" t="s">
        <v>3283</v>
      </c>
      <c r="H101" s="45" t="s">
        <v>291</v>
      </c>
      <c r="I101" s="44" t="s">
        <v>292</v>
      </c>
      <c r="J101" s="44" t="s">
        <v>1571</v>
      </c>
      <c r="K101" s="207">
        <v>0</v>
      </c>
      <c r="L101" s="207">
        <v>0</v>
      </c>
    </row>
    <row r="102" spans="1:12" ht="25.5">
      <c r="A102" s="894">
        <v>630</v>
      </c>
      <c r="B102" s="245">
        <v>100</v>
      </c>
      <c r="C102" s="245">
        <v>300</v>
      </c>
      <c r="D102" s="245">
        <v>650</v>
      </c>
      <c r="E102" s="245">
        <v>20</v>
      </c>
      <c r="F102" s="245">
        <v>0</v>
      </c>
      <c r="G102" s="377" t="s">
        <v>3284</v>
      </c>
      <c r="H102" s="43" t="s">
        <v>293</v>
      </c>
      <c r="I102" s="44" t="s">
        <v>294</v>
      </c>
      <c r="J102" s="44" t="s">
        <v>1571</v>
      </c>
      <c r="K102" s="208">
        <v>0</v>
      </c>
      <c r="L102" s="208">
        <v>0</v>
      </c>
    </row>
    <row r="103" spans="1:12">
      <c r="A103" s="894">
        <v>630</v>
      </c>
      <c r="B103" s="245">
        <v>100</v>
      </c>
      <c r="C103" s="245">
        <v>300</v>
      </c>
      <c r="D103" s="245">
        <v>650</v>
      </c>
      <c r="E103" s="245">
        <v>20</v>
      </c>
      <c r="F103" s="244">
        <v>10</v>
      </c>
      <c r="G103" s="378" t="s">
        <v>3285</v>
      </c>
      <c r="H103" s="45" t="s">
        <v>256</v>
      </c>
      <c r="I103" s="47"/>
      <c r="J103" s="47" t="s">
        <v>1571</v>
      </c>
      <c r="K103" s="207">
        <v>0</v>
      </c>
      <c r="L103" s="207">
        <v>0</v>
      </c>
    </row>
    <row r="104" spans="1:12" ht="25.5">
      <c r="A104" s="894">
        <v>630</v>
      </c>
      <c r="B104" s="245">
        <v>100</v>
      </c>
      <c r="C104" s="245">
        <v>300</v>
      </c>
      <c r="D104" s="245">
        <v>650</v>
      </c>
      <c r="E104" s="244">
        <v>20</v>
      </c>
      <c r="F104" s="244">
        <v>11</v>
      </c>
      <c r="G104" s="378" t="s">
        <v>3266</v>
      </c>
      <c r="H104" s="45" t="s">
        <v>226</v>
      </c>
      <c r="I104" s="387"/>
      <c r="J104" s="47" t="s">
        <v>1567</v>
      </c>
      <c r="K104" s="207">
        <v>0</v>
      </c>
      <c r="L104" s="207">
        <v>0</v>
      </c>
    </row>
    <row r="105" spans="1:12" ht="25.5">
      <c r="A105" s="894">
        <v>630</v>
      </c>
      <c r="B105" s="245">
        <v>100</v>
      </c>
      <c r="C105" s="245">
        <v>300</v>
      </c>
      <c r="D105" s="245">
        <v>650</v>
      </c>
      <c r="E105" s="244">
        <v>20</v>
      </c>
      <c r="F105" s="244">
        <v>12</v>
      </c>
      <c r="G105" s="378" t="s">
        <v>3269</v>
      </c>
      <c r="H105" s="45" t="s">
        <v>230</v>
      </c>
      <c r="I105" s="387"/>
      <c r="J105" s="47" t="s">
        <v>1567</v>
      </c>
      <c r="K105" s="207">
        <v>0</v>
      </c>
      <c r="L105" s="207">
        <v>0</v>
      </c>
    </row>
    <row r="106" spans="1:12" ht="38.25">
      <c r="A106" s="894">
        <v>630</v>
      </c>
      <c r="B106" s="245">
        <v>100</v>
      </c>
      <c r="C106" s="245">
        <v>300</v>
      </c>
      <c r="D106" s="245">
        <v>650</v>
      </c>
      <c r="E106" s="245">
        <v>20</v>
      </c>
      <c r="F106" s="244">
        <v>20</v>
      </c>
      <c r="G106" s="378" t="s">
        <v>3286</v>
      </c>
      <c r="H106" s="45" t="s">
        <v>293</v>
      </c>
      <c r="I106" s="47"/>
      <c r="J106" s="47" t="s">
        <v>1571</v>
      </c>
      <c r="K106" s="207">
        <v>206150.48</v>
      </c>
      <c r="L106" s="207">
        <v>47421.65</v>
      </c>
    </row>
    <row r="107" spans="1:12" ht="25.5">
      <c r="A107" s="894">
        <v>630</v>
      </c>
      <c r="B107" s="245">
        <v>100</v>
      </c>
      <c r="C107" s="245">
        <v>300</v>
      </c>
      <c r="D107" s="245">
        <v>700</v>
      </c>
      <c r="E107" s="245">
        <v>0</v>
      </c>
      <c r="F107" s="245">
        <v>0</v>
      </c>
      <c r="G107" s="379" t="s">
        <v>3287</v>
      </c>
      <c r="H107" s="45" t="s">
        <v>295</v>
      </c>
      <c r="I107" s="44" t="s">
        <v>296</v>
      </c>
      <c r="J107" s="44"/>
      <c r="K107" s="207">
        <v>62942.97</v>
      </c>
      <c r="L107" s="207">
        <v>63008.56</v>
      </c>
    </row>
    <row r="108" spans="1:12" ht="38.25">
      <c r="A108" s="894">
        <v>630</v>
      </c>
      <c r="B108" s="245">
        <v>100</v>
      </c>
      <c r="C108" s="245">
        <v>300</v>
      </c>
      <c r="D108" s="245">
        <v>800</v>
      </c>
      <c r="E108" s="245">
        <v>0</v>
      </c>
      <c r="F108" s="245">
        <v>0</v>
      </c>
      <c r="G108" s="379" t="s">
        <v>3288</v>
      </c>
      <c r="H108" s="45" t="s">
        <v>297</v>
      </c>
      <c r="I108" s="44" t="s">
        <v>298</v>
      </c>
      <c r="J108" s="44" t="s">
        <v>1522</v>
      </c>
      <c r="K108" s="207">
        <v>0</v>
      </c>
      <c r="L108" s="207">
        <v>0</v>
      </c>
    </row>
    <row r="109" spans="1:12" ht="38.25">
      <c r="A109" s="894">
        <v>630</v>
      </c>
      <c r="B109" s="245">
        <v>100</v>
      </c>
      <c r="C109" s="245">
        <v>300</v>
      </c>
      <c r="D109" s="245">
        <v>900</v>
      </c>
      <c r="E109" s="245">
        <v>0</v>
      </c>
      <c r="F109" s="245">
        <v>0</v>
      </c>
      <c r="G109" s="379" t="s">
        <v>3289</v>
      </c>
      <c r="H109" s="45" t="s">
        <v>299</v>
      </c>
      <c r="I109" s="44" t="s">
        <v>300</v>
      </c>
      <c r="J109" s="44" t="s">
        <v>1571</v>
      </c>
      <c r="K109" s="207">
        <v>0</v>
      </c>
      <c r="L109" s="207">
        <v>0</v>
      </c>
    </row>
    <row r="110" spans="1:12" ht="38.25">
      <c r="A110" s="894">
        <v>630</v>
      </c>
      <c r="B110" s="245">
        <v>200</v>
      </c>
      <c r="C110" s="245">
        <v>0</v>
      </c>
      <c r="D110" s="245">
        <v>0</v>
      </c>
      <c r="E110" s="245">
        <v>0</v>
      </c>
      <c r="F110" s="245">
        <v>0</v>
      </c>
      <c r="G110" s="377" t="s">
        <v>3290</v>
      </c>
      <c r="H110" s="43" t="s">
        <v>301</v>
      </c>
      <c r="I110" s="44" t="s">
        <v>302</v>
      </c>
      <c r="J110" s="44" t="s">
        <v>1567</v>
      </c>
      <c r="K110" s="208">
        <v>0</v>
      </c>
      <c r="L110" s="208">
        <v>0</v>
      </c>
    </row>
    <row r="111" spans="1:12" ht="25.5">
      <c r="A111" s="894">
        <v>630</v>
      </c>
      <c r="B111" s="245">
        <v>200</v>
      </c>
      <c r="C111" s="245">
        <v>100</v>
      </c>
      <c r="D111" s="245">
        <v>0</v>
      </c>
      <c r="E111" s="245">
        <v>0</v>
      </c>
      <c r="F111" s="245">
        <v>0</v>
      </c>
      <c r="G111" s="379" t="s">
        <v>3291</v>
      </c>
      <c r="H111" s="45" t="s">
        <v>303</v>
      </c>
      <c r="I111" s="44" t="s">
        <v>304</v>
      </c>
      <c r="J111" s="44" t="s">
        <v>1567</v>
      </c>
      <c r="K111" s="207">
        <v>0</v>
      </c>
      <c r="L111" s="207">
        <v>0</v>
      </c>
    </row>
    <row r="112" spans="1:12" ht="25.5">
      <c r="A112" s="894">
        <v>630</v>
      </c>
      <c r="B112" s="245">
        <v>200</v>
      </c>
      <c r="C112" s="245">
        <v>200</v>
      </c>
      <c r="D112" s="245">
        <v>0</v>
      </c>
      <c r="E112" s="245">
        <v>0</v>
      </c>
      <c r="F112" s="245">
        <v>0</v>
      </c>
      <c r="G112" s="379" t="s">
        <v>3292</v>
      </c>
      <c r="H112" s="45" t="s">
        <v>305</v>
      </c>
      <c r="I112" s="44" t="s">
        <v>306</v>
      </c>
      <c r="J112" s="44" t="s">
        <v>1567</v>
      </c>
      <c r="K112" s="207">
        <v>0</v>
      </c>
      <c r="L112" s="207">
        <v>0</v>
      </c>
    </row>
    <row r="113" spans="1:12" ht="38.25">
      <c r="A113" s="894">
        <v>630</v>
      </c>
      <c r="B113" s="245">
        <v>200</v>
      </c>
      <c r="C113" s="245">
        <v>250</v>
      </c>
      <c r="D113" s="245">
        <v>0</v>
      </c>
      <c r="E113" s="245">
        <v>0</v>
      </c>
      <c r="F113" s="245">
        <v>0</v>
      </c>
      <c r="G113" s="379" t="s">
        <v>3293</v>
      </c>
      <c r="H113" s="45" t="s">
        <v>307</v>
      </c>
      <c r="I113" s="44" t="s">
        <v>308</v>
      </c>
      <c r="J113" s="44" t="s">
        <v>1567</v>
      </c>
      <c r="K113" s="207">
        <v>0</v>
      </c>
      <c r="L113" s="207">
        <v>0</v>
      </c>
    </row>
    <row r="114" spans="1:12" ht="25.5">
      <c r="A114" s="894">
        <v>630</v>
      </c>
      <c r="B114" s="245">
        <v>200</v>
      </c>
      <c r="C114" s="245">
        <v>300</v>
      </c>
      <c r="D114" s="245">
        <v>0</v>
      </c>
      <c r="E114" s="245">
        <v>0</v>
      </c>
      <c r="F114" s="245">
        <v>0</v>
      </c>
      <c r="G114" s="379" t="s">
        <v>3294</v>
      </c>
      <c r="H114" s="45" t="s">
        <v>309</v>
      </c>
      <c r="I114" s="44" t="s">
        <v>310</v>
      </c>
      <c r="J114" s="44" t="s">
        <v>1567</v>
      </c>
      <c r="K114" s="207">
        <v>0</v>
      </c>
      <c r="L114" s="207">
        <v>0</v>
      </c>
    </row>
    <row r="115" spans="1:12" ht="38.25">
      <c r="A115" s="894">
        <v>630</v>
      </c>
      <c r="B115" s="245">
        <v>200</v>
      </c>
      <c r="C115" s="245">
        <v>400</v>
      </c>
      <c r="D115" s="245">
        <v>0</v>
      </c>
      <c r="E115" s="245">
        <v>0</v>
      </c>
      <c r="F115" s="245">
        <v>0</v>
      </c>
      <c r="G115" s="379" t="s">
        <v>3295</v>
      </c>
      <c r="H115" s="45" t="s">
        <v>311</v>
      </c>
      <c r="I115" s="44" t="s">
        <v>312</v>
      </c>
      <c r="J115" s="44" t="s">
        <v>1567</v>
      </c>
      <c r="K115" s="207">
        <v>0</v>
      </c>
      <c r="L115" s="207">
        <v>0</v>
      </c>
    </row>
    <row r="116" spans="1:12" ht="25.5">
      <c r="A116" s="894">
        <v>630</v>
      </c>
      <c r="B116" s="245">
        <v>300</v>
      </c>
      <c r="C116" s="245">
        <v>0</v>
      </c>
      <c r="D116" s="245">
        <v>0</v>
      </c>
      <c r="E116" s="245">
        <v>0</v>
      </c>
      <c r="F116" s="245">
        <v>0</v>
      </c>
      <c r="G116" s="377" t="s">
        <v>3296</v>
      </c>
      <c r="H116" s="43" t="s">
        <v>313</v>
      </c>
      <c r="I116" s="44" t="s">
        <v>314</v>
      </c>
      <c r="J116" s="44"/>
      <c r="K116" s="208">
        <v>0</v>
      </c>
      <c r="L116" s="208">
        <v>0</v>
      </c>
    </row>
    <row r="117" spans="1:12">
      <c r="A117" s="894">
        <v>630</v>
      </c>
      <c r="B117" s="245">
        <v>300</v>
      </c>
      <c r="C117" s="244">
        <v>100</v>
      </c>
      <c r="D117" s="244">
        <v>0</v>
      </c>
      <c r="E117" s="244">
        <v>0</v>
      </c>
      <c r="F117" s="244">
        <v>0</v>
      </c>
      <c r="G117" s="380" t="s">
        <v>3297</v>
      </c>
      <c r="H117" s="43" t="s">
        <v>315</v>
      </c>
      <c r="I117" s="47"/>
      <c r="J117" s="47"/>
      <c r="K117" s="208">
        <v>0</v>
      </c>
      <c r="L117" s="208">
        <v>0</v>
      </c>
    </row>
    <row r="118" spans="1:12">
      <c r="A118" s="894">
        <v>630</v>
      </c>
      <c r="B118" s="245">
        <v>300</v>
      </c>
      <c r="C118" s="244">
        <v>100</v>
      </c>
      <c r="D118" s="244">
        <v>100</v>
      </c>
      <c r="E118" s="244">
        <v>0</v>
      </c>
      <c r="F118" s="244">
        <v>0</v>
      </c>
      <c r="G118" s="378" t="s">
        <v>3298</v>
      </c>
      <c r="H118" s="45" t="s">
        <v>223</v>
      </c>
      <c r="I118" s="47"/>
      <c r="J118" s="47"/>
      <c r="K118" s="207">
        <v>461030.32</v>
      </c>
      <c r="L118" s="207">
        <v>693356.96</v>
      </c>
    </row>
    <row r="119" spans="1:12">
      <c r="A119" s="894">
        <v>630</v>
      </c>
      <c r="B119" s="245">
        <v>300</v>
      </c>
      <c r="C119" s="244">
        <v>100</v>
      </c>
      <c r="D119" s="244">
        <v>200</v>
      </c>
      <c r="E119" s="244">
        <v>0</v>
      </c>
      <c r="F119" s="244">
        <v>0</v>
      </c>
      <c r="G119" s="378" t="s">
        <v>3299</v>
      </c>
      <c r="H119" s="45" t="s">
        <v>316</v>
      </c>
      <c r="I119" s="47"/>
      <c r="J119" s="47"/>
      <c r="K119" s="207">
        <v>0</v>
      </c>
      <c r="L119" s="207">
        <v>0</v>
      </c>
    </row>
    <row r="120" spans="1:12">
      <c r="A120" s="894">
        <v>630</v>
      </c>
      <c r="B120" s="245">
        <v>300</v>
      </c>
      <c r="C120" s="244">
        <v>100</v>
      </c>
      <c r="D120" s="244">
        <v>300</v>
      </c>
      <c r="E120" s="244">
        <v>0</v>
      </c>
      <c r="F120" s="244">
        <v>0</v>
      </c>
      <c r="G120" s="378" t="s">
        <v>3300</v>
      </c>
      <c r="H120" s="45" t="s">
        <v>317</v>
      </c>
      <c r="I120" s="47"/>
      <c r="J120" s="47"/>
      <c r="K120" s="207">
        <v>0</v>
      </c>
      <c r="L120" s="207">
        <v>0</v>
      </c>
    </row>
    <row r="121" spans="1:12">
      <c r="A121" s="894">
        <v>630</v>
      </c>
      <c r="B121" s="245">
        <v>300</v>
      </c>
      <c r="C121" s="244">
        <v>100</v>
      </c>
      <c r="D121" s="244">
        <v>400</v>
      </c>
      <c r="E121" s="244">
        <v>0</v>
      </c>
      <c r="F121" s="244">
        <v>0</v>
      </c>
      <c r="G121" s="378" t="s">
        <v>3301</v>
      </c>
      <c r="H121" s="45" t="s">
        <v>263</v>
      </c>
      <c r="I121" s="47"/>
      <c r="J121" s="47"/>
      <c r="K121" s="207">
        <v>340099.99</v>
      </c>
      <c r="L121" s="207">
        <v>288506.99</v>
      </c>
    </row>
    <row r="122" spans="1:12">
      <c r="A122" s="894">
        <v>630</v>
      </c>
      <c r="B122" s="245">
        <v>300</v>
      </c>
      <c r="C122" s="244">
        <v>100</v>
      </c>
      <c r="D122" s="244">
        <v>500</v>
      </c>
      <c r="E122" s="244">
        <v>0</v>
      </c>
      <c r="F122" s="244">
        <v>0</v>
      </c>
      <c r="G122" s="378" t="s">
        <v>3302</v>
      </c>
      <c r="H122" s="45" t="s">
        <v>318</v>
      </c>
      <c r="I122" s="47"/>
      <c r="J122" s="47"/>
      <c r="K122" s="207">
        <v>0</v>
      </c>
      <c r="L122" s="207">
        <v>0</v>
      </c>
    </row>
    <row r="123" spans="1:12">
      <c r="A123" s="894">
        <v>630</v>
      </c>
      <c r="B123" s="245">
        <v>300</v>
      </c>
      <c r="C123" s="244">
        <v>100</v>
      </c>
      <c r="D123" s="244">
        <v>600</v>
      </c>
      <c r="E123" s="244">
        <v>0</v>
      </c>
      <c r="F123" s="244">
        <v>0</v>
      </c>
      <c r="G123" s="378" t="s">
        <v>3303</v>
      </c>
      <c r="H123" s="45" t="s">
        <v>319</v>
      </c>
      <c r="I123" s="47"/>
      <c r="J123" s="47"/>
      <c r="K123" s="207">
        <v>0</v>
      </c>
      <c r="L123" s="207">
        <v>0</v>
      </c>
    </row>
    <row r="124" spans="1:12">
      <c r="A124" s="894">
        <v>630</v>
      </c>
      <c r="B124" s="245">
        <v>300</v>
      </c>
      <c r="C124" s="244">
        <v>100</v>
      </c>
      <c r="D124" s="244">
        <v>900</v>
      </c>
      <c r="E124" s="244">
        <v>0</v>
      </c>
      <c r="F124" s="244">
        <v>0</v>
      </c>
      <c r="G124" s="378" t="s">
        <v>3304</v>
      </c>
      <c r="H124" s="45" t="s">
        <v>320</v>
      </c>
      <c r="I124" s="47"/>
      <c r="J124" s="47"/>
      <c r="K124" s="207">
        <v>0</v>
      </c>
      <c r="L124" s="207">
        <v>0</v>
      </c>
    </row>
    <row r="125" spans="1:12">
      <c r="A125" s="894">
        <v>630</v>
      </c>
      <c r="B125" s="245">
        <v>300</v>
      </c>
      <c r="C125" s="244">
        <v>200</v>
      </c>
      <c r="D125" s="244">
        <v>0</v>
      </c>
      <c r="E125" s="244">
        <v>0</v>
      </c>
      <c r="F125" s="244">
        <v>0</v>
      </c>
      <c r="G125" s="380" t="s">
        <v>3305</v>
      </c>
      <c r="H125" s="43" t="s">
        <v>321</v>
      </c>
      <c r="I125" s="47"/>
      <c r="J125" s="47"/>
      <c r="K125" s="208">
        <v>0</v>
      </c>
      <c r="L125" s="208">
        <v>0</v>
      </c>
    </row>
    <row r="126" spans="1:12">
      <c r="A126" s="894">
        <v>630</v>
      </c>
      <c r="B126" s="245">
        <v>300</v>
      </c>
      <c r="C126" s="244">
        <v>200</v>
      </c>
      <c r="D126" s="244">
        <v>50</v>
      </c>
      <c r="E126" s="244">
        <v>0</v>
      </c>
      <c r="F126" s="244">
        <v>0</v>
      </c>
      <c r="G126" s="378" t="s">
        <v>3306</v>
      </c>
      <c r="H126" s="45" t="s">
        <v>322</v>
      </c>
      <c r="I126" s="47"/>
      <c r="J126" s="47"/>
      <c r="K126" s="207">
        <v>0</v>
      </c>
      <c r="L126" s="207">
        <v>0</v>
      </c>
    </row>
    <row r="127" spans="1:12">
      <c r="A127" s="894">
        <v>630</v>
      </c>
      <c r="B127" s="245">
        <v>300</v>
      </c>
      <c r="C127" s="244">
        <v>200</v>
      </c>
      <c r="D127" s="244">
        <v>100</v>
      </c>
      <c r="E127" s="244">
        <v>0</v>
      </c>
      <c r="F127" s="244">
        <v>0</v>
      </c>
      <c r="G127" s="378" t="s">
        <v>3307</v>
      </c>
      <c r="H127" s="45" t="s">
        <v>323</v>
      </c>
      <c r="I127" s="47"/>
      <c r="J127" s="47"/>
      <c r="K127" s="207">
        <v>0</v>
      </c>
      <c r="L127" s="207">
        <v>0</v>
      </c>
    </row>
    <row r="128" spans="1:12">
      <c r="A128" s="894">
        <v>630</v>
      </c>
      <c r="B128" s="245">
        <v>300</v>
      </c>
      <c r="C128" s="244">
        <v>200</v>
      </c>
      <c r="D128" s="244">
        <v>150</v>
      </c>
      <c r="E128" s="244">
        <v>0</v>
      </c>
      <c r="F128" s="244">
        <v>0</v>
      </c>
      <c r="G128" s="378" t="s">
        <v>3308</v>
      </c>
      <c r="H128" s="45" t="s">
        <v>324</v>
      </c>
      <c r="I128" s="47"/>
      <c r="J128" s="47"/>
      <c r="K128" s="207">
        <v>0</v>
      </c>
      <c r="L128" s="207">
        <v>0</v>
      </c>
    </row>
    <row r="129" spans="1:12" ht="25.5">
      <c r="A129" s="894">
        <v>630</v>
      </c>
      <c r="B129" s="245">
        <v>300</v>
      </c>
      <c r="C129" s="244">
        <v>200</v>
      </c>
      <c r="D129" s="244">
        <v>200</v>
      </c>
      <c r="E129" s="244">
        <v>0</v>
      </c>
      <c r="F129" s="244">
        <v>0</v>
      </c>
      <c r="G129" s="378" t="s">
        <v>3309</v>
      </c>
      <c r="H129" s="45" t="s">
        <v>325</v>
      </c>
      <c r="I129" s="47"/>
      <c r="J129" s="47"/>
      <c r="K129" s="207">
        <v>0</v>
      </c>
      <c r="L129" s="207">
        <v>0</v>
      </c>
    </row>
    <row r="130" spans="1:12">
      <c r="A130" s="894">
        <v>630</v>
      </c>
      <c r="B130" s="245">
        <v>300</v>
      </c>
      <c r="C130" s="244">
        <v>200</v>
      </c>
      <c r="D130" s="244">
        <v>250</v>
      </c>
      <c r="E130" s="244">
        <v>0</v>
      </c>
      <c r="F130" s="244">
        <v>0</v>
      </c>
      <c r="G130" s="378" t="s">
        <v>3310</v>
      </c>
      <c r="H130" s="45" t="s">
        <v>326</v>
      </c>
      <c r="I130" s="47"/>
      <c r="J130" s="47"/>
      <c r="K130" s="207">
        <v>0</v>
      </c>
      <c r="L130" s="207">
        <v>0</v>
      </c>
    </row>
    <row r="131" spans="1:12">
      <c r="A131" s="894">
        <v>630</v>
      </c>
      <c r="B131" s="245">
        <v>300</v>
      </c>
      <c r="C131" s="244">
        <v>200</v>
      </c>
      <c r="D131" s="244">
        <v>300</v>
      </c>
      <c r="E131" s="244">
        <v>0</v>
      </c>
      <c r="F131" s="244">
        <v>0</v>
      </c>
      <c r="G131" s="378" t="s">
        <v>3311</v>
      </c>
      <c r="H131" s="45" t="s">
        <v>327</v>
      </c>
      <c r="I131" s="47"/>
      <c r="J131" s="47"/>
      <c r="K131" s="207">
        <v>0</v>
      </c>
      <c r="L131" s="207">
        <v>0</v>
      </c>
    </row>
    <row r="132" spans="1:12">
      <c r="A132" s="894">
        <v>630</v>
      </c>
      <c r="B132" s="245">
        <v>300</v>
      </c>
      <c r="C132" s="244">
        <v>200</v>
      </c>
      <c r="D132" s="244">
        <v>350</v>
      </c>
      <c r="E132" s="244">
        <v>0</v>
      </c>
      <c r="F132" s="244">
        <v>0</v>
      </c>
      <c r="G132" s="378" t="s">
        <v>3312</v>
      </c>
      <c r="H132" s="45" t="s">
        <v>328</v>
      </c>
      <c r="I132" s="47"/>
      <c r="J132" s="47"/>
      <c r="K132" s="207">
        <v>0</v>
      </c>
      <c r="L132" s="207">
        <v>0</v>
      </c>
    </row>
    <row r="133" spans="1:12" ht="25.5">
      <c r="A133" s="894">
        <v>630</v>
      </c>
      <c r="B133" s="245">
        <v>300</v>
      </c>
      <c r="C133" s="244">
        <v>200</v>
      </c>
      <c r="D133" s="244">
        <v>400</v>
      </c>
      <c r="E133" s="244">
        <v>0</v>
      </c>
      <c r="F133" s="244">
        <v>0</v>
      </c>
      <c r="G133" s="378" t="s">
        <v>3313</v>
      </c>
      <c r="H133" s="45" t="s">
        <v>329</v>
      </c>
      <c r="I133" s="47"/>
      <c r="J133" s="47"/>
      <c r="K133" s="207">
        <v>0</v>
      </c>
      <c r="L133" s="207">
        <v>0</v>
      </c>
    </row>
    <row r="134" spans="1:12">
      <c r="A134" s="894">
        <v>630</v>
      </c>
      <c r="B134" s="245">
        <v>300</v>
      </c>
      <c r="C134" s="244">
        <v>200</v>
      </c>
      <c r="D134" s="244">
        <v>450</v>
      </c>
      <c r="E134" s="244">
        <v>0</v>
      </c>
      <c r="F134" s="244">
        <v>0</v>
      </c>
      <c r="G134" s="378" t="s">
        <v>3314</v>
      </c>
      <c r="H134" s="45" t="s">
        <v>330</v>
      </c>
      <c r="I134" s="47"/>
      <c r="J134" s="47"/>
      <c r="K134" s="207">
        <v>0</v>
      </c>
      <c r="L134" s="207">
        <v>0</v>
      </c>
    </row>
    <row r="135" spans="1:12">
      <c r="A135" s="894">
        <v>630</v>
      </c>
      <c r="B135" s="245">
        <v>300</v>
      </c>
      <c r="C135" s="244">
        <v>200</v>
      </c>
      <c r="D135" s="244">
        <v>500</v>
      </c>
      <c r="E135" s="244">
        <v>0</v>
      </c>
      <c r="F135" s="244">
        <v>0</v>
      </c>
      <c r="G135" s="378" t="s">
        <v>3315</v>
      </c>
      <c r="H135" s="45" t="s">
        <v>331</v>
      </c>
      <c r="I135" s="47"/>
      <c r="J135" s="47"/>
      <c r="K135" s="207">
        <v>0</v>
      </c>
      <c r="L135" s="207">
        <v>0</v>
      </c>
    </row>
    <row r="136" spans="1:12">
      <c r="A136" s="894">
        <v>630</v>
      </c>
      <c r="B136" s="245">
        <v>300</v>
      </c>
      <c r="C136" s="244">
        <v>200</v>
      </c>
      <c r="D136" s="244">
        <v>550</v>
      </c>
      <c r="E136" s="244">
        <v>0</v>
      </c>
      <c r="F136" s="244">
        <v>0</v>
      </c>
      <c r="G136" s="378" t="s">
        <v>3316</v>
      </c>
      <c r="H136" s="45" t="s">
        <v>332</v>
      </c>
      <c r="I136" s="47"/>
      <c r="J136" s="47"/>
      <c r="K136" s="207">
        <v>0</v>
      </c>
      <c r="L136" s="207">
        <v>0</v>
      </c>
    </row>
    <row r="137" spans="1:12">
      <c r="A137" s="894">
        <v>630</v>
      </c>
      <c r="B137" s="245">
        <v>300</v>
      </c>
      <c r="C137" s="244">
        <v>200</v>
      </c>
      <c r="D137" s="244">
        <v>600</v>
      </c>
      <c r="E137" s="244">
        <v>0</v>
      </c>
      <c r="F137" s="244">
        <v>0</v>
      </c>
      <c r="G137" s="378" t="s">
        <v>3317</v>
      </c>
      <c r="H137" s="45" t="s">
        <v>333</v>
      </c>
      <c r="I137" s="47"/>
      <c r="J137" s="47"/>
      <c r="K137" s="207">
        <v>0</v>
      </c>
      <c r="L137" s="207">
        <v>0</v>
      </c>
    </row>
    <row r="138" spans="1:12">
      <c r="A138" s="894">
        <v>630</v>
      </c>
      <c r="B138" s="245">
        <v>300</v>
      </c>
      <c r="C138" s="244">
        <v>200</v>
      </c>
      <c r="D138" s="244">
        <v>650</v>
      </c>
      <c r="E138" s="244">
        <v>0</v>
      </c>
      <c r="F138" s="244">
        <v>0</v>
      </c>
      <c r="G138" s="378" t="s">
        <v>3318</v>
      </c>
      <c r="H138" s="45" t="s">
        <v>334</v>
      </c>
      <c r="I138" s="47"/>
      <c r="J138" s="47"/>
      <c r="K138" s="207">
        <v>0</v>
      </c>
      <c r="L138" s="207">
        <v>0</v>
      </c>
    </row>
    <row r="139" spans="1:12" ht="25.5">
      <c r="A139" s="894">
        <v>630</v>
      </c>
      <c r="B139" s="245">
        <v>300</v>
      </c>
      <c r="C139" s="244">
        <v>200</v>
      </c>
      <c r="D139" s="244">
        <v>700</v>
      </c>
      <c r="E139" s="244">
        <v>0</v>
      </c>
      <c r="F139" s="244">
        <v>0</v>
      </c>
      <c r="G139" s="378" t="s">
        <v>3319</v>
      </c>
      <c r="H139" s="45" t="s">
        <v>335</v>
      </c>
      <c r="I139" s="47"/>
      <c r="J139" s="47"/>
      <c r="K139" s="207">
        <v>0</v>
      </c>
      <c r="L139" s="207">
        <v>0</v>
      </c>
    </row>
    <row r="140" spans="1:12" ht="25.5">
      <c r="A140" s="894">
        <v>630</v>
      </c>
      <c r="B140" s="245">
        <v>300</v>
      </c>
      <c r="C140" s="244">
        <v>200</v>
      </c>
      <c r="D140" s="244">
        <v>750</v>
      </c>
      <c r="E140" s="244">
        <v>0</v>
      </c>
      <c r="F140" s="244">
        <v>0</v>
      </c>
      <c r="G140" s="380" t="s">
        <v>3320</v>
      </c>
      <c r="H140" s="43" t="s">
        <v>336</v>
      </c>
      <c r="I140" s="47"/>
      <c r="J140" s="47"/>
      <c r="K140" s="208">
        <v>0</v>
      </c>
      <c r="L140" s="208">
        <v>0</v>
      </c>
    </row>
    <row r="141" spans="1:12">
      <c r="A141" s="894">
        <v>630</v>
      </c>
      <c r="B141" s="245">
        <v>300</v>
      </c>
      <c r="C141" s="244">
        <v>200</v>
      </c>
      <c r="D141" s="244">
        <v>750</v>
      </c>
      <c r="E141" s="244">
        <v>10</v>
      </c>
      <c r="F141" s="244">
        <v>0</v>
      </c>
      <c r="G141" s="378" t="s">
        <v>3321</v>
      </c>
      <c r="H141" s="45" t="s">
        <v>337</v>
      </c>
      <c r="I141" s="47"/>
      <c r="J141" s="47"/>
      <c r="K141" s="207">
        <v>0</v>
      </c>
      <c r="L141" s="207">
        <v>0</v>
      </c>
    </row>
    <row r="142" spans="1:12">
      <c r="A142" s="894">
        <v>630</v>
      </c>
      <c r="B142" s="245">
        <v>300</v>
      </c>
      <c r="C142" s="244">
        <v>200</v>
      </c>
      <c r="D142" s="244">
        <v>750</v>
      </c>
      <c r="E142" s="244">
        <v>20</v>
      </c>
      <c r="F142" s="244">
        <v>0</v>
      </c>
      <c r="G142" s="378" t="s">
        <v>3322</v>
      </c>
      <c r="H142" s="45" t="s">
        <v>338</v>
      </c>
      <c r="I142" s="47"/>
      <c r="J142" s="47"/>
      <c r="K142" s="207">
        <v>0</v>
      </c>
      <c r="L142" s="207">
        <v>0</v>
      </c>
    </row>
    <row r="143" spans="1:12">
      <c r="A143" s="894">
        <v>630</v>
      </c>
      <c r="B143" s="245">
        <v>300</v>
      </c>
      <c r="C143" s="244">
        <v>200</v>
      </c>
      <c r="D143" s="244">
        <v>900</v>
      </c>
      <c r="E143" s="244">
        <v>0</v>
      </c>
      <c r="F143" s="244">
        <v>0</v>
      </c>
      <c r="G143" s="378" t="s">
        <v>3323</v>
      </c>
      <c r="H143" s="45" t="s">
        <v>339</v>
      </c>
      <c r="I143" s="47"/>
      <c r="J143" s="47"/>
      <c r="K143" s="207">
        <v>0</v>
      </c>
      <c r="L143" s="207">
        <v>0</v>
      </c>
    </row>
    <row r="144" spans="1:12">
      <c r="A144" s="894">
        <v>630</v>
      </c>
      <c r="B144" s="245">
        <v>300</v>
      </c>
      <c r="C144" s="244">
        <v>300</v>
      </c>
      <c r="D144" s="244">
        <v>0</v>
      </c>
      <c r="E144" s="244">
        <v>0</v>
      </c>
      <c r="F144" s="244">
        <v>0</v>
      </c>
      <c r="G144" s="378" t="s">
        <v>3324</v>
      </c>
      <c r="H144" s="45" t="s">
        <v>340</v>
      </c>
      <c r="I144" s="47"/>
      <c r="J144" s="47"/>
      <c r="K144" s="207">
        <v>0</v>
      </c>
      <c r="L144" s="207">
        <v>0</v>
      </c>
    </row>
    <row r="145" spans="1:12">
      <c r="A145" s="894">
        <v>630</v>
      </c>
      <c r="B145" s="245">
        <v>300</v>
      </c>
      <c r="C145" s="244">
        <v>400</v>
      </c>
      <c r="D145" s="244">
        <v>0</v>
      </c>
      <c r="E145" s="244">
        <v>0</v>
      </c>
      <c r="F145" s="244">
        <v>0</v>
      </c>
      <c r="G145" s="378" t="s">
        <v>3325</v>
      </c>
      <c r="H145" s="45" t="s">
        <v>341</v>
      </c>
      <c r="I145" s="47"/>
      <c r="J145" s="47"/>
      <c r="K145" s="207">
        <v>0</v>
      </c>
      <c r="L145" s="207">
        <v>0</v>
      </c>
    </row>
    <row r="146" spans="1:12" ht="25.5">
      <c r="A146" s="894">
        <v>630</v>
      </c>
      <c r="B146" s="245">
        <v>300</v>
      </c>
      <c r="C146" s="244">
        <v>500</v>
      </c>
      <c r="D146" s="244">
        <v>0</v>
      </c>
      <c r="E146" s="244">
        <v>0</v>
      </c>
      <c r="F146" s="244">
        <v>0</v>
      </c>
      <c r="G146" s="378" t="s">
        <v>3326</v>
      </c>
      <c r="H146" s="45" t="s">
        <v>342</v>
      </c>
      <c r="I146" s="47"/>
      <c r="J146" s="47"/>
      <c r="K146" s="207">
        <v>13226.82</v>
      </c>
      <c r="L146" s="207">
        <v>10831.07</v>
      </c>
    </row>
    <row r="147" spans="1:12">
      <c r="A147" s="894">
        <v>630</v>
      </c>
      <c r="B147" s="245">
        <v>300</v>
      </c>
      <c r="C147" s="244">
        <v>600</v>
      </c>
      <c r="D147" s="244">
        <v>0</v>
      </c>
      <c r="E147" s="244">
        <v>0</v>
      </c>
      <c r="F147" s="244">
        <v>0</v>
      </c>
      <c r="G147" s="378" t="s">
        <v>3327</v>
      </c>
      <c r="H147" s="45" t="s">
        <v>343</v>
      </c>
      <c r="I147" s="47"/>
      <c r="J147" s="47"/>
      <c r="K147" s="207">
        <v>0</v>
      </c>
      <c r="L147" s="207">
        <v>0</v>
      </c>
    </row>
    <row r="148" spans="1:12">
      <c r="A148" s="894">
        <v>630</v>
      </c>
      <c r="B148" s="245">
        <v>300</v>
      </c>
      <c r="C148" s="244">
        <v>700</v>
      </c>
      <c r="D148" s="244">
        <v>0</v>
      </c>
      <c r="E148" s="244">
        <v>0</v>
      </c>
      <c r="F148" s="244">
        <v>0</v>
      </c>
      <c r="G148" s="378" t="s">
        <v>3328</v>
      </c>
      <c r="H148" s="45" t="s">
        <v>344</v>
      </c>
      <c r="I148" s="47"/>
      <c r="J148" s="47"/>
      <c r="K148" s="207">
        <v>88855.74</v>
      </c>
      <c r="L148" s="207">
        <v>43305</v>
      </c>
    </row>
    <row r="149" spans="1:12">
      <c r="A149" s="894">
        <v>630</v>
      </c>
      <c r="B149" s="245">
        <v>300</v>
      </c>
      <c r="C149" s="244">
        <v>800</v>
      </c>
      <c r="D149" s="244">
        <v>0</v>
      </c>
      <c r="E149" s="244">
        <v>0</v>
      </c>
      <c r="F149" s="244">
        <v>0</v>
      </c>
      <c r="G149" s="378" t="s">
        <v>3329</v>
      </c>
      <c r="H149" s="45" t="s">
        <v>345</v>
      </c>
      <c r="I149" s="47"/>
      <c r="J149" s="47"/>
      <c r="K149" s="207">
        <v>0</v>
      </c>
      <c r="L149" s="207">
        <v>0</v>
      </c>
    </row>
    <row r="150" spans="1:12">
      <c r="A150" s="894">
        <v>630</v>
      </c>
      <c r="B150" s="245">
        <v>300</v>
      </c>
      <c r="C150" s="244">
        <v>900</v>
      </c>
      <c r="D150" s="244">
        <v>0</v>
      </c>
      <c r="E150" s="244">
        <v>0</v>
      </c>
      <c r="F150" s="244">
        <v>0</v>
      </c>
      <c r="G150" s="380" t="s">
        <v>3330</v>
      </c>
      <c r="H150" s="43" t="s">
        <v>346</v>
      </c>
      <c r="I150" s="47"/>
      <c r="J150" s="47"/>
      <c r="K150" s="208">
        <v>0</v>
      </c>
      <c r="L150" s="208">
        <v>0</v>
      </c>
    </row>
    <row r="151" spans="1:12">
      <c r="A151" s="894">
        <v>630</v>
      </c>
      <c r="B151" s="245">
        <v>300</v>
      </c>
      <c r="C151" s="244">
        <v>900</v>
      </c>
      <c r="D151" s="244">
        <v>100</v>
      </c>
      <c r="E151" s="244">
        <v>0</v>
      </c>
      <c r="F151" s="244">
        <v>0</v>
      </c>
      <c r="G151" s="378" t="s">
        <v>3331</v>
      </c>
      <c r="H151" s="45" t="s">
        <v>347</v>
      </c>
      <c r="I151" s="47"/>
      <c r="J151" s="47"/>
      <c r="K151" s="207">
        <v>0</v>
      </c>
      <c r="L151" s="207">
        <v>0</v>
      </c>
    </row>
    <row r="152" spans="1:12">
      <c r="A152" s="894">
        <v>630</v>
      </c>
      <c r="B152" s="245">
        <v>300</v>
      </c>
      <c r="C152" s="244">
        <v>900</v>
      </c>
      <c r="D152" s="244">
        <v>900</v>
      </c>
      <c r="E152" s="244">
        <v>0</v>
      </c>
      <c r="F152" s="244">
        <v>0</v>
      </c>
      <c r="G152" s="378" t="s">
        <v>3332</v>
      </c>
      <c r="H152" s="45" t="s">
        <v>348</v>
      </c>
      <c r="I152" s="47"/>
      <c r="J152" s="47"/>
      <c r="K152" s="207">
        <v>0</v>
      </c>
      <c r="L152" s="207">
        <v>0</v>
      </c>
    </row>
    <row r="153" spans="1:12" ht="25.5">
      <c r="A153" s="894">
        <v>630</v>
      </c>
      <c r="B153" s="245">
        <v>400</v>
      </c>
      <c r="C153" s="244">
        <v>0</v>
      </c>
      <c r="D153" s="245">
        <v>0</v>
      </c>
      <c r="E153" s="245">
        <v>0</v>
      </c>
      <c r="F153" s="245">
        <v>0</v>
      </c>
      <c r="G153" s="377" t="s">
        <v>3333</v>
      </c>
      <c r="H153" s="43" t="s">
        <v>349</v>
      </c>
      <c r="I153" s="44"/>
      <c r="J153" s="44"/>
      <c r="K153" s="208">
        <v>0</v>
      </c>
      <c r="L153" s="208">
        <v>0</v>
      </c>
    </row>
    <row r="154" spans="1:12" ht="25.5">
      <c r="A154" s="894">
        <v>630</v>
      </c>
      <c r="B154" s="245">
        <v>400</v>
      </c>
      <c r="C154" s="245">
        <v>100</v>
      </c>
      <c r="D154" s="245">
        <v>0</v>
      </c>
      <c r="E154" s="245">
        <v>0</v>
      </c>
      <c r="F154" s="245">
        <v>0</v>
      </c>
      <c r="G154" s="379" t="s">
        <v>3334</v>
      </c>
      <c r="H154" s="45" t="s">
        <v>350</v>
      </c>
      <c r="I154" s="44" t="s">
        <v>351</v>
      </c>
      <c r="J154" s="44"/>
      <c r="K154" s="207">
        <v>128659.28</v>
      </c>
      <c r="L154" s="207">
        <v>172998.52</v>
      </c>
    </row>
    <row r="155" spans="1:12" ht="25.5">
      <c r="A155" s="894">
        <v>630</v>
      </c>
      <c r="B155" s="245">
        <v>400</v>
      </c>
      <c r="C155" s="245">
        <v>200</v>
      </c>
      <c r="D155" s="245">
        <v>0</v>
      </c>
      <c r="E155" s="245">
        <v>0</v>
      </c>
      <c r="F155" s="245">
        <v>0</v>
      </c>
      <c r="G155" s="379" t="s">
        <v>3335</v>
      </c>
      <c r="H155" s="45" t="s">
        <v>352</v>
      </c>
      <c r="I155" s="44" t="s">
        <v>353</v>
      </c>
      <c r="J155" s="44"/>
      <c r="K155" s="207">
        <v>830638</v>
      </c>
      <c r="L155" s="207">
        <v>752678.6</v>
      </c>
    </row>
    <row r="156" spans="1:12" ht="25.5">
      <c r="A156" s="894">
        <v>630</v>
      </c>
      <c r="B156" s="245">
        <v>400</v>
      </c>
      <c r="C156" s="245">
        <v>300</v>
      </c>
      <c r="D156" s="245">
        <v>0</v>
      </c>
      <c r="E156" s="245">
        <v>0</v>
      </c>
      <c r="F156" s="245">
        <v>0</v>
      </c>
      <c r="G156" s="379" t="s">
        <v>3336</v>
      </c>
      <c r="H156" s="45" t="s">
        <v>354</v>
      </c>
      <c r="I156" s="44" t="s">
        <v>355</v>
      </c>
      <c r="J156" s="44"/>
      <c r="K156" s="207">
        <v>0</v>
      </c>
      <c r="L156" s="207">
        <v>0</v>
      </c>
    </row>
    <row r="157" spans="1:12" ht="38.25">
      <c r="A157" s="894">
        <v>630</v>
      </c>
      <c r="B157" s="245">
        <v>400</v>
      </c>
      <c r="C157" s="245">
        <v>400</v>
      </c>
      <c r="D157" s="245">
        <v>0</v>
      </c>
      <c r="E157" s="245">
        <v>0</v>
      </c>
      <c r="F157" s="245">
        <v>0</v>
      </c>
      <c r="G157" s="379" t="s">
        <v>3337</v>
      </c>
      <c r="H157" s="45" t="s">
        <v>356</v>
      </c>
      <c r="I157" s="44" t="s">
        <v>357</v>
      </c>
      <c r="J157" s="44"/>
      <c r="K157" s="207">
        <v>200356.08</v>
      </c>
      <c r="L157" s="207">
        <v>73504.75</v>
      </c>
    </row>
    <row r="158" spans="1:12" ht="38.25">
      <c r="A158" s="894">
        <v>630</v>
      </c>
      <c r="B158" s="245">
        <v>400</v>
      </c>
      <c r="C158" s="245">
        <v>500</v>
      </c>
      <c r="D158" s="245">
        <v>0</v>
      </c>
      <c r="E158" s="245">
        <v>0</v>
      </c>
      <c r="F158" s="245">
        <v>0</v>
      </c>
      <c r="G158" s="379" t="s">
        <v>3338</v>
      </c>
      <c r="H158" s="45" t="s">
        <v>358</v>
      </c>
      <c r="I158" s="44" t="s">
        <v>359</v>
      </c>
      <c r="J158" s="44" t="s">
        <v>1522</v>
      </c>
      <c r="K158" s="207">
        <v>40723.99</v>
      </c>
      <c r="L158" s="207">
        <v>44851.3</v>
      </c>
    </row>
    <row r="159" spans="1:12" ht="25.5">
      <c r="A159" s="894">
        <v>630</v>
      </c>
      <c r="B159" s="245">
        <v>400</v>
      </c>
      <c r="C159" s="245">
        <v>600</v>
      </c>
      <c r="D159" s="245">
        <v>0</v>
      </c>
      <c r="E159" s="245">
        <v>0</v>
      </c>
      <c r="F159" s="245">
        <v>0</v>
      </c>
      <c r="G159" s="379" t="s">
        <v>3339</v>
      </c>
      <c r="H159" s="45" t="s">
        <v>360</v>
      </c>
      <c r="I159" s="44" t="s">
        <v>361</v>
      </c>
      <c r="J159" s="44"/>
      <c r="K159" s="207">
        <v>8229.11</v>
      </c>
      <c r="L159" s="207">
        <v>13580.37</v>
      </c>
    </row>
    <row r="160" spans="1:12" ht="25.5">
      <c r="A160" s="894">
        <v>630</v>
      </c>
      <c r="B160" s="245">
        <v>400</v>
      </c>
      <c r="C160" s="245">
        <v>700</v>
      </c>
      <c r="D160" s="245">
        <v>0</v>
      </c>
      <c r="E160" s="245">
        <v>0</v>
      </c>
      <c r="F160" s="245">
        <v>0</v>
      </c>
      <c r="G160" s="379" t="s">
        <v>3340</v>
      </c>
      <c r="H160" s="45" t="s">
        <v>362</v>
      </c>
      <c r="I160" s="44" t="s">
        <v>363</v>
      </c>
      <c r="J160" s="44" t="s">
        <v>1522</v>
      </c>
      <c r="K160" s="207">
        <v>0</v>
      </c>
      <c r="L160" s="207">
        <v>0</v>
      </c>
    </row>
    <row r="161" spans="1:12">
      <c r="A161" s="242">
        <v>640</v>
      </c>
      <c r="B161" s="243">
        <v>0</v>
      </c>
      <c r="C161" s="243">
        <v>0</v>
      </c>
      <c r="D161" s="243">
        <v>0</v>
      </c>
      <c r="E161" s="243">
        <v>0</v>
      </c>
      <c r="F161" s="243">
        <v>0</v>
      </c>
      <c r="G161" s="376">
        <v>640</v>
      </c>
      <c r="H161" s="41" t="s">
        <v>364</v>
      </c>
      <c r="I161" s="42"/>
      <c r="J161" s="42"/>
      <c r="K161" s="210">
        <v>0</v>
      </c>
      <c r="L161" s="210">
        <v>0</v>
      </c>
    </row>
    <row r="162" spans="1:12">
      <c r="A162" s="894">
        <v>640</v>
      </c>
      <c r="B162" s="245">
        <v>100</v>
      </c>
      <c r="C162" s="245">
        <v>0</v>
      </c>
      <c r="D162" s="245">
        <v>0</v>
      </c>
      <c r="E162" s="245">
        <v>0</v>
      </c>
      <c r="F162" s="245">
        <v>0</v>
      </c>
      <c r="G162" s="379" t="s">
        <v>3341</v>
      </c>
      <c r="H162" s="45" t="s">
        <v>365</v>
      </c>
      <c r="I162" s="44" t="s">
        <v>366</v>
      </c>
      <c r="J162" s="44"/>
      <c r="K162" s="207">
        <v>3768.9</v>
      </c>
      <c r="L162" s="207">
        <v>57297.72</v>
      </c>
    </row>
    <row r="163" spans="1:12">
      <c r="A163" s="894">
        <v>640</v>
      </c>
      <c r="B163" s="245">
        <v>200</v>
      </c>
      <c r="C163" s="245">
        <v>0</v>
      </c>
      <c r="D163" s="245">
        <v>0</v>
      </c>
      <c r="E163" s="245">
        <v>0</v>
      </c>
      <c r="F163" s="245">
        <v>0</v>
      </c>
      <c r="G163" s="377" t="s">
        <v>3342</v>
      </c>
      <c r="H163" s="43" t="s">
        <v>367</v>
      </c>
      <c r="I163" s="44"/>
      <c r="J163" s="44"/>
      <c r="K163" s="208">
        <v>0</v>
      </c>
      <c r="L163" s="208">
        <v>0</v>
      </c>
    </row>
    <row r="164" spans="1:12" ht="38.25">
      <c r="A164" s="894">
        <v>640</v>
      </c>
      <c r="B164" s="245">
        <v>200</v>
      </c>
      <c r="C164" s="245">
        <v>100</v>
      </c>
      <c r="D164" s="245">
        <v>0</v>
      </c>
      <c r="E164" s="245">
        <v>0</v>
      </c>
      <c r="F164" s="245">
        <v>0</v>
      </c>
      <c r="G164" s="379" t="s">
        <v>3343</v>
      </c>
      <c r="H164" s="45" t="s">
        <v>368</v>
      </c>
      <c r="I164" s="44" t="s">
        <v>369</v>
      </c>
      <c r="J164" s="44"/>
      <c r="K164" s="207">
        <v>0</v>
      </c>
      <c r="L164" s="207">
        <v>0</v>
      </c>
    </row>
    <row r="165" spans="1:12" ht="25.5">
      <c r="A165" s="894">
        <v>640</v>
      </c>
      <c r="B165" s="245">
        <v>200</v>
      </c>
      <c r="C165" s="245">
        <v>200</v>
      </c>
      <c r="D165" s="245">
        <v>0</v>
      </c>
      <c r="E165" s="245">
        <v>0</v>
      </c>
      <c r="F165" s="245">
        <v>0</v>
      </c>
      <c r="G165" s="379" t="s">
        <v>3344</v>
      </c>
      <c r="H165" s="45" t="s">
        <v>370</v>
      </c>
      <c r="I165" s="44" t="s">
        <v>371</v>
      </c>
      <c r="J165" s="44"/>
      <c r="K165" s="207">
        <v>0</v>
      </c>
      <c r="L165" s="207">
        <v>0</v>
      </c>
    </row>
    <row r="166" spans="1:12" ht="25.5">
      <c r="A166" s="894">
        <v>640</v>
      </c>
      <c r="B166" s="245">
        <v>300</v>
      </c>
      <c r="C166" s="245">
        <v>0</v>
      </c>
      <c r="D166" s="245">
        <v>0</v>
      </c>
      <c r="E166" s="245">
        <v>0</v>
      </c>
      <c r="F166" s="245">
        <v>0</v>
      </c>
      <c r="G166" s="377" t="s">
        <v>3345</v>
      </c>
      <c r="H166" s="43" t="s">
        <v>372</v>
      </c>
      <c r="I166" s="44"/>
      <c r="J166" s="44"/>
      <c r="K166" s="208">
        <v>0</v>
      </c>
      <c r="L166" s="208">
        <v>0</v>
      </c>
    </row>
    <row r="167" spans="1:12" ht="38.25">
      <c r="A167" s="894">
        <v>640</v>
      </c>
      <c r="B167" s="245">
        <v>300</v>
      </c>
      <c r="C167" s="245">
        <v>100</v>
      </c>
      <c r="D167" s="245">
        <v>0</v>
      </c>
      <c r="E167" s="245">
        <v>0</v>
      </c>
      <c r="F167" s="245">
        <v>0</v>
      </c>
      <c r="G167" s="379" t="s">
        <v>3346</v>
      </c>
      <c r="H167" s="45" t="s">
        <v>373</v>
      </c>
      <c r="I167" s="44" t="s">
        <v>374</v>
      </c>
      <c r="J167" s="44" t="s">
        <v>1522</v>
      </c>
      <c r="K167" s="207">
        <v>37063.71</v>
      </c>
      <c r="L167" s="207">
        <v>0</v>
      </c>
    </row>
    <row r="168" spans="1:12" ht="25.5">
      <c r="A168" s="894">
        <v>640</v>
      </c>
      <c r="B168" s="245">
        <v>300</v>
      </c>
      <c r="C168" s="245">
        <v>200</v>
      </c>
      <c r="D168" s="245">
        <v>0</v>
      </c>
      <c r="E168" s="245">
        <v>0</v>
      </c>
      <c r="F168" s="245">
        <v>0</v>
      </c>
      <c r="G168" s="379" t="s">
        <v>3347</v>
      </c>
      <c r="H168" s="45" t="s">
        <v>375</v>
      </c>
      <c r="I168" s="44" t="s">
        <v>376</v>
      </c>
      <c r="J168" s="44" t="s">
        <v>1522</v>
      </c>
      <c r="K168" s="207">
        <v>0</v>
      </c>
      <c r="L168" s="207">
        <v>0</v>
      </c>
    </row>
    <row r="169" spans="1:12" ht="25.5">
      <c r="A169" s="894">
        <v>640</v>
      </c>
      <c r="B169" s="245">
        <v>300</v>
      </c>
      <c r="C169" s="245">
        <v>300</v>
      </c>
      <c r="D169" s="245">
        <v>0</v>
      </c>
      <c r="E169" s="245">
        <v>0</v>
      </c>
      <c r="F169" s="245">
        <v>0</v>
      </c>
      <c r="G169" s="379" t="s">
        <v>3348</v>
      </c>
      <c r="H169" s="43" t="s">
        <v>377</v>
      </c>
      <c r="I169" s="44" t="s">
        <v>378</v>
      </c>
      <c r="J169" s="44" t="s">
        <v>1522</v>
      </c>
      <c r="K169" s="208">
        <v>0</v>
      </c>
      <c r="L169" s="208">
        <v>0</v>
      </c>
    </row>
    <row r="170" spans="1:12">
      <c r="A170" s="894">
        <v>640</v>
      </c>
      <c r="B170" s="245">
        <v>300</v>
      </c>
      <c r="C170" s="245">
        <v>300</v>
      </c>
      <c r="D170" s="245">
        <v>100</v>
      </c>
      <c r="E170" s="245">
        <v>0</v>
      </c>
      <c r="F170" s="245">
        <v>0</v>
      </c>
      <c r="G170" s="379" t="s">
        <v>3349</v>
      </c>
      <c r="H170" s="45" t="s">
        <v>340</v>
      </c>
      <c r="I170" s="44"/>
      <c r="J170" s="44" t="s">
        <v>1522</v>
      </c>
      <c r="K170" s="207">
        <v>66</v>
      </c>
      <c r="L170" s="207">
        <v>142038.5</v>
      </c>
    </row>
    <row r="171" spans="1:12">
      <c r="A171" s="894">
        <v>640</v>
      </c>
      <c r="B171" s="245">
        <v>300</v>
      </c>
      <c r="C171" s="245">
        <v>300</v>
      </c>
      <c r="D171" s="245">
        <v>200</v>
      </c>
      <c r="E171" s="245">
        <v>0</v>
      </c>
      <c r="F171" s="245">
        <v>0</v>
      </c>
      <c r="G171" s="379" t="s">
        <v>3350</v>
      </c>
      <c r="H171" s="45" t="s">
        <v>379</v>
      </c>
      <c r="I171" s="44"/>
      <c r="J171" s="44" t="s">
        <v>1522</v>
      </c>
      <c r="K171" s="207">
        <v>0</v>
      </c>
      <c r="L171" s="207">
        <v>0</v>
      </c>
    </row>
    <row r="172" spans="1:12">
      <c r="A172" s="894">
        <v>640</v>
      </c>
      <c r="B172" s="245">
        <v>300</v>
      </c>
      <c r="C172" s="245">
        <v>300</v>
      </c>
      <c r="D172" s="245">
        <v>900</v>
      </c>
      <c r="E172" s="245">
        <v>0</v>
      </c>
      <c r="F172" s="245">
        <v>0</v>
      </c>
      <c r="G172" s="379" t="s">
        <v>3351</v>
      </c>
      <c r="H172" s="45" t="s">
        <v>380</v>
      </c>
      <c r="I172" s="44"/>
      <c r="J172" s="44" t="s">
        <v>1522</v>
      </c>
      <c r="K172" s="207">
        <v>38168.26</v>
      </c>
      <c r="L172" s="207">
        <v>107169.37</v>
      </c>
    </row>
    <row r="173" spans="1:12" ht="25.5">
      <c r="A173" s="894">
        <v>640</v>
      </c>
      <c r="B173" s="245">
        <v>300</v>
      </c>
      <c r="C173" s="245">
        <v>400</v>
      </c>
      <c r="D173" s="245">
        <v>0</v>
      </c>
      <c r="E173" s="245">
        <v>0</v>
      </c>
      <c r="F173" s="245">
        <v>0</v>
      </c>
      <c r="G173" s="377" t="s">
        <v>3352</v>
      </c>
      <c r="H173" s="43" t="s">
        <v>381</v>
      </c>
      <c r="I173" s="44" t="s">
        <v>382</v>
      </c>
      <c r="J173" s="44" t="s">
        <v>1522</v>
      </c>
      <c r="K173" s="207">
        <v>0</v>
      </c>
      <c r="L173" s="207">
        <v>0</v>
      </c>
    </row>
    <row r="174" spans="1:12">
      <c r="A174" s="894">
        <v>640</v>
      </c>
      <c r="B174" s="245">
        <v>400</v>
      </c>
      <c r="C174" s="245">
        <v>0</v>
      </c>
      <c r="D174" s="245">
        <v>0</v>
      </c>
      <c r="E174" s="245">
        <v>0</v>
      </c>
      <c r="F174" s="245">
        <v>0</v>
      </c>
      <c r="G174" s="377" t="s">
        <v>3353</v>
      </c>
      <c r="H174" s="43" t="s">
        <v>383</v>
      </c>
      <c r="I174" s="44" t="s">
        <v>384</v>
      </c>
      <c r="J174" s="44"/>
      <c r="K174" s="208">
        <v>0</v>
      </c>
      <c r="L174" s="208">
        <v>0</v>
      </c>
    </row>
    <row r="175" spans="1:12" ht="38.25">
      <c r="A175" s="894">
        <v>640</v>
      </c>
      <c r="B175" s="245">
        <v>400</v>
      </c>
      <c r="C175" s="245">
        <v>100</v>
      </c>
      <c r="D175" s="245">
        <v>0</v>
      </c>
      <c r="E175" s="245">
        <v>0</v>
      </c>
      <c r="F175" s="245">
        <v>0</v>
      </c>
      <c r="G175" s="379" t="s">
        <v>3354</v>
      </c>
      <c r="H175" s="45" t="s">
        <v>385</v>
      </c>
      <c r="I175" s="44" t="s">
        <v>386</v>
      </c>
      <c r="J175" s="44"/>
      <c r="K175" s="207">
        <v>4184.45</v>
      </c>
      <c r="L175" s="207">
        <v>6624.79</v>
      </c>
    </row>
    <row r="176" spans="1:12" ht="25.5">
      <c r="A176" s="894">
        <v>640</v>
      </c>
      <c r="B176" s="245">
        <v>400</v>
      </c>
      <c r="C176" s="245">
        <v>200</v>
      </c>
      <c r="D176" s="245">
        <v>0</v>
      </c>
      <c r="E176" s="245">
        <v>0</v>
      </c>
      <c r="F176" s="245">
        <v>0</v>
      </c>
      <c r="G176" s="379" t="s">
        <v>3355</v>
      </c>
      <c r="H176" s="45" t="s">
        <v>387</v>
      </c>
      <c r="I176" s="44" t="s">
        <v>388</v>
      </c>
      <c r="J176" s="44"/>
      <c r="K176" s="207">
        <v>0</v>
      </c>
      <c r="L176" s="207">
        <v>0</v>
      </c>
    </row>
    <row r="177" spans="1:12" ht="25.5">
      <c r="A177" s="894">
        <v>640</v>
      </c>
      <c r="B177" s="245">
        <v>400</v>
      </c>
      <c r="C177" s="245">
        <v>300</v>
      </c>
      <c r="D177" s="245">
        <v>0</v>
      </c>
      <c r="E177" s="245">
        <v>0</v>
      </c>
      <c r="F177" s="245">
        <v>0</v>
      </c>
      <c r="G177" s="377" t="s">
        <v>3356</v>
      </c>
      <c r="H177" s="43" t="s">
        <v>389</v>
      </c>
      <c r="I177" s="44" t="s">
        <v>390</v>
      </c>
      <c r="J177" s="44"/>
      <c r="K177" s="208">
        <v>0</v>
      </c>
      <c r="L177" s="208">
        <v>0</v>
      </c>
    </row>
    <row r="178" spans="1:12">
      <c r="A178" s="894">
        <v>640</v>
      </c>
      <c r="B178" s="245">
        <v>400</v>
      </c>
      <c r="C178" s="245">
        <v>300</v>
      </c>
      <c r="D178" s="244">
        <v>100</v>
      </c>
      <c r="E178" s="244">
        <v>0</v>
      </c>
      <c r="F178" s="244">
        <v>0</v>
      </c>
      <c r="G178" s="378" t="s">
        <v>3357</v>
      </c>
      <c r="H178" s="45" t="s">
        <v>391</v>
      </c>
      <c r="I178" s="47"/>
      <c r="J178" s="47"/>
      <c r="K178" s="207">
        <v>0</v>
      </c>
      <c r="L178" s="207">
        <v>0</v>
      </c>
    </row>
    <row r="179" spans="1:12" ht="25.5">
      <c r="A179" s="894">
        <v>640</v>
      </c>
      <c r="B179" s="245">
        <v>400</v>
      </c>
      <c r="C179" s="245">
        <v>300</v>
      </c>
      <c r="D179" s="244">
        <v>200</v>
      </c>
      <c r="E179" s="244">
        <v>0</v>
      </c>
      <c r="F179" s="244">
        <v>0</v>
      </c>
      <c r="G179" s="378" t="s">
        <v>3358</v>
      </c>
      <c r="H179" s="45" t="s">
        <v>392</v>
      </c>
      <c r="I179" s="47"/>
      <c r="J179" s="47"/>
      <c r="K179" s="207">
        <v>0</v>
      </c>
      <c r="L179" s="207">
        <v>0</v>
      </c>
    </row>
    <row r="180" spans="1:12">
      <c r="A180" s="894">
        <v>640</v>
      </c>
      <c r="B180" s="245">
        <v>400</v>
      </c>
      <c r="C180" s="245">
        <v>300</v>
      </c>
      <c r="D180" s="244">
        <v>300</v>
      </c>
      <c r="E180" s="244">
        <v>0</v>
      </c>
      <c r="F180" s="244">
        <v>0</v>
      </c>
      <c r="G180" s="378" t="s">
        <v>3359</v>
      </c>
      <c r="H180" s="45" t="s">
        <v>393</v>
      </c>
      <c r="I180" s="47"/>
      <c r="J180" s="47"/>
      <c r="K180" s="207">
        <v>36443.14</v>
      </c>
      <c r="L180" s="207">
        <v>57005.1</v>
      </c>
    </row>
    <row r="181" spans="1:12" ht="25.5">
      <c r="A181" s="894">
        <v>640</v>
      </c>
      <c r="B181" s="245">
        <v>400</v>
      </c>
      <c r="C181" s="245">
        <v>300</v>
      </c>
      <c r="D181" s="244">
        <v>400</v>
      </c>
      <c r="E181" s="244">
        <v>0</v>
      </c>
      <c r="F181" s="244">
        <v>0</v>
      </c>
      <c r="G181" s="378" t="s">
        <v>3360</v>
      </c>
      <c r="H181" s="45" t="s">
        <v>394</v>
      </c>
      <c r="I181" s="47"/>
      <c r="J181" s="47"/>
      <c r="K181" s="207">
        <v>0</v>
      </c>
      <c r="L181" s="207">
        <v>0</v>
      </c>
    </row>
    <row r="182" spans="1:12">
      <c r="A182" s="894">
        <v>640</v>
      </c>
      <c r="B182" s="245">
        <v>400</v>
      </c>
      <c r="C182" s="245">
        <v>300</v>
      </c>
      <c r="D182" s="244">
        <v>500</v>
      </c>
      <c r="E182" s="244">
        <v>0</v>
      </c>
      <c r="F182" s="244">
        <v>0</v>
      </c>
      <c r="G182" s="378" t="s">
        <v>3361</v>
      </c>
      <c r="H182" s="45" t="s">
        <v>395</v>
      </c>
      <c r="I182" s="47"/>
      <c r="J182" s="47"/>
      <c r="K182" s="207">
        <v>22250.720000000001</v>
      </c>
      <c r="L182" s="207">
        <v>4858.54</v>
      </c>
    </row>
    <row r="183" spans="1:12" ht="25.5">
      <c r="A183" s="894">
        <v>640</v>
      </c>
      <c r="B183" s="245">
        <v>400</v>
      </c>
      <c r="C183" s="245">
        <v>300</v>
      </c>
      <c r="D183" s="244">
        <v>900</v>
      </c>
      <c r="E183" s="244">
        <v>0</v>
      </c>
      <c r="F183" s="244">
        <v>0</v>
      </c>
      <c r="G183" s="378" t="s">
        <v>3362</v>
      </c>
      <c r="H183" s="45" t="s">
        <v>389</v>
      </c>
      <c r="I183" s="47"/>
      <c r="J183" s="47"/>
      <c r="K183" s="207">
        <v>50915.13</v>
      </c>
      <c r="L183" s="207">
        <v>96956.65</v>
      </c>
    </row>
    <row r="184" spans="1:12">
      <c r="A184" s="894">
        <v>640</v>
      </c>
      <c r="B184" s="245">
        <v>500</v>
      </c>
      <c r="C184" s="245">
        <v>0</v>
      </c>
      <c r="D184" s="245">
        <v>0</v>
      </c>
      <c r="E184" s="245">
        <v>0</v>
      </c>
      <c r="F184" s="245">
        <v>0</v>
      </c>
      <c r="G184" s="377" t="s">
        <v>3363</v>
      </c>
      <c r="H184" s="43" t="s">
        <v>396</v>
      </c>
      <c r="I184" s="44" t="s">
        <v>397</v>
      </c>
      <c r="J184" s="44"/>
      <c r="K184" s="208">
        <v>0</v>
      </c>
      <c r="L184" s="208">
        <v>0</v>
      </c>
    </row>
    <row r="185" spans="1:12">
      <c r="A185" s="894">
        <v>640</v>
      </c>
      <c r="B185" s="245">
        <v>500</v>
      </c>
      <c r="C185" s="245">
        <v>100</v>
      </c>
      <c r="D185" s="245">
        <v>0</v>
      </c>
      <c r="E185" s="245">
        <v>0</v>
      </c>
      <c r="F185" s="245">
        <v>0</v>
      </c>
      <c r="G185" s="377" t="s">
        <v>3364</v>
      </c>
      <c r="H185" s="43" t="s">
        <v>398</v>
      </c>
      <c r="I185" s="44" t="s">
        <v>399</v>
      </c>
      <c r="J185" s="44"/>
      <c r="K185" s="208">
        <v>0</v>
      </c>
      <c r="L185" s="208">
        <v>0</v>
      </c>
    </row>
    <row r="186" spans="1:12" ht="25.5">
      <c r="A186" s="894">
        <v>640</v>
      </c>
      <c r="B186" s="245">
        <v>500</v>
      </c>
      <c r="C186" s="245">
        <v>100</v>
      </c>
      <c r="D186" s="245">
        <v>100</v>
      </c>
      <c r="E186" s="245">
        <v>0</v>
      </c>
      <c r="F186" s="245">
        <v>0</v>
      </c>
      <c r="G186" s="379" t="s">
        <v>3365</v>
      </c>
      <c r="H186" s="45" t="s">
        <v>400</v>
      </c>
      <c r="I186" s="44" t="s">
        <v>401</v>
      </c>
      <c r="J186" s="44"/>
      <c r="K186" s="207">
        <v>0</v>
      </c>
      <c r="L186" s="207">
        <v>0</v>
      </c>
    </row>
    <row r="187" spans="1:12" ht="25.5">
      <c r="A187" s="894">
        <v>640</v>
      </c>
      <c r="B187" s="245">
        <v>500</v>
      </c>
      <c r="C187" s="245">
        <v>100</v>
      </c>
      <c r="D187" s="245">
        <v>200</v>
      </c>
      <c r="E187" s="245">
        <v>0</v>
      </c>
      <c r="F187" s="245">
        <v>0</v>
      </c>
      <c r="G187" s="379" t="s">
        <v>3366</v>
      </c>
      <c r="H187" s="45" t="s">
        <v>402</v>
      </c>
      <c r="I187" s="44" t="s">
        <v>403</v>
      </c>
      <c r="J187" s="44"/>
      <c r="K187" s="207">
        <v>502631</v>
      </c>
      <c r="L187" s="207">
        <v>1540561.66</v>
      </c>
    </row>
    <row r="188" spans="1:12">
      <c r="A188" s="894">
        <v>640</v>
      </c>
      <c r="B188" s="245">
        <v>500</v>
      </c>
      <c r="C188" s="245">
        <v>100</v>
      </c>
      <c r="D188" s="245">
        <v>300</v>
      </c>
      <c r="E188" s="245">
        <v>0</v>
      </c>
      <c r="F188" s="245">
        <v>0</v>
      </c>
      <c r="G188" s="379" t="s">
        <v>3367</v>
      </c>
      <c r="H188" s="45" t="s">
        <v>404</v>
      </c>
      <c r="I188" s="44" t="s">
        <v>405</v>
      </c>
      <c r="J188" s="44"/>
      <c r="K188" s="207">
        <v>177776.54</v>
      </c>
      <c r="L188" s="207">
        <v>285889.77</v>
      </c>
    </row>
    <row r="189" spans="1:12">
      <c r="A189" s="894">
        <v>640</v>
      </c>
      <c r="B189" s="245">
        <v>500</v>
      </c>
      <c r="C189" s="245">
        <v>150</v>
      </c>
      <c r="D189" s="245">
        <v>0</v>
      </c>
      <c r="E189" s="245">
        <v>0</v>
      </c>
      <c r="F189" s="245">
        <v>0</v>
      </c>
      <c r="G189" s="379" t="s">
        <v>3368</v>
      </c>
      <c r="H189" s="45" t="s">
        <v>406</v>
      </c>
      <c r="I189" s="44" t="s">
        <v>407</v>
      </c>
      <c r="J189" s="44"/>
      <c r="K189" s="207">
        <v>0</v>
      </c>
      <c r="L189" s="207">
        <v>1676338.96</v>
      </c>
    </row>
    <row r="190" spans="1:12">
      <c r="A190" s="894">
        <v>640</v>
      </c>
      <c r="B190" s="245">
        <v>500</v>
      </c>
      <c r="C190" s="245">
        <v>200</v>
      </c>
      <c r="D190" s="245">
        <v>0</v>
      </c>
      <c r="E190" s="245">
        <v>0</v>
      </c>
      <c r="F190" s="245">
        <v>0</v>
      </c>
      <c r="G190" s="377" t="s">
        <v>3369</v>
      </c>
      <c r="H190" s="43" t="s">
        <v>408</v>
      </c>
      <c r="I190" s="44" t="s">
        <v>409</v>
      </c>
      <c r="J190" s="44"/>
      <c r="K190" s="208">
        <v>0</v>
      </c>
      <c r="L190" s="208">
        <v>0</v>
      </c>
    </row>
    <row r="191" spans="1:12">
      <c r="A191" s="894">
        <v>640</v>
      </c>
      <c r="B191" s="245">
        <v>500</v>
      </c>
      <c r="C191" s="245">
        <v>200</v>
      </c>
      <c r="D191" s="244">
        <v>50</v>
      </c>
      <c r="E191" s="244">
        <v>0</v>
      </c>
      <c r="F191" s="244">
        <v>0</v>
      </c>
      <c r="G191" s="378" t="s">
        <v>3370</v>
      </c>
      <c r="H191" s="45" t="s">
        <v>410</v>
      </c>
      <c r="I191" s="47"/>
      <c r="J191" s="47"/>
      <c r="K191" s="207">
        <v>0</v>
      </c>
      <c r="L191" s="207">
        <v>0</v>
      </c>
    </row>
    <row r="192" spans="1:12" ht="25.5">
      <c r="A192" s="894">
        <v>640</v>
      </c>
      <c r="B192" s="245">
        <v>500</v>
      </c>
      <c r="C192" s="245">
        <v>200</v>
      </c>
      <c r="D192" s="244">
        <v>100</v>
      </c>
      <c r="E192" s="244">
        <v>0</v>
      </c>
      <c r="F192" s="244">
        <v>0</v>
      </c>
      <c r="G192" s="378" t="s">
        <v>3371</v>
      </c>
      <c r="H192" s="45" t="s">
        <v>411</v>
      </c>
      <c r="I192" s="47"/>
      <c r="J192" s="47"/>
      <c r="K192" s="207">
        <v>26575.66</v>
      </c>
      <c r="L192" s="207">
        <v>32404.43</v>
      </c>
    </row>
    <row r="193" spans="1:12" ht="25.5">
      <c r="A193" s="894">
        <v>640</v>
      </c>
      <c r="B193" s="245">
        <v>500</v>
      </c>
      <c r="C193" s="245">
        <v>200</v>
      </c>
      <c r="D193" s="244">
        <v>150</v>
      </c>
      <c r="E193" s="244">
        <v>0</v>
      </c>
      <c r="F193" s="244">
        <v>0</v>
      </c>
      <c r="G193" s="378" t="s">
        <v>3372</v>
      </c>
      <c r="H193" s="45" t="s">
        <v>412</v>
      </c>
      <c r="I193" s="47"/>
      <c r="J193" s="47"/>
      <c r="K193" s="207">
        <v>0</v>
      </c>
      <c r="L193" s="207">
        <v>0</v>
      </c>
    </row>
    <row r="194" spans="1:12">
      <c r="A194" s="894">
        <v>640</v>
      </c>
      <c r="B194" s="245">
        <v>500</v>
      </c>
      <c r="C194" s="245">
        <v>200</v>
      </c>
      <c r="D194" s="244">
        <v>200</v>
      </c>
      <c r="E194" s="244">
        <v>0</v>
      </c>
      <c r="F194" s="244">
        <v>0</v>
      </c>
      <c r="G194" s="378" t="s">
        <v>3373</v>
      </c>
      <c r="H194" s="45" t="s">
        <v>413</v>
      </c>
      <c r="I194" s="47"/>
      <c r="J194" s="47"/>
      <c r="K194" s="207">
        <v>15243</v>
      </c>
      <c r="L194" s="207">
        <v>14074</v>
      </c>
    </row>
    <row r="195" spans="1:12">
      <c r="A195" s="894">
        <v>640</v>
      </c>
      <c r="B195" s="245">
        <v>500</v>
      </c>
      <c r="C195" s="245">
        <v>200</v>
      </c>
      <c r="D195" s="244">
        <v>250</v>
      </c>
      <c r="E195" s="244">
        <v>0</v>
      </c>
      <c r="F195" s="244">
        <v>0</v>
      </c>
      <c r="G195" s="378" t="s">
        <v>3374</v>
      </c>
      <c r="H195" s="45" t="s">
        <v>414</v>
      </c>
      <c r="I195" s="47"/>
      <c r="J195" s="47"/>
      <c r="K195" s="207">
        <v>0</v>
      </c>
      <c r="L195" s="207">
        <v>480.11</v>
      </c>
    </row>
    <row r="196" spans="1:12">
      <c r="A196" s="894">
        <v>640</v>
      </c>
      <c r="B196" s="245">
        <v>500</v>
      </c>
      <c r="C196" s="245">
        <v>200</v>
      </c>
      <c r="D196" s="244">
        <v>300</v>
      </c>
      <c r="E196" s="244">
        <v>0</v>
      </c>
      <c r="F196" s="244">
        <v>0</v>
      </c>
      <c r="G196" s="378" t="s">
        <v>3375</v>
      </c>
      <c r="H196" s="45" t="s">
        <v>415</v>
      </c>
      <c r="I196" s="47"/>
      <c r="J196" s="47"/>
      <c r="K196" s="207">
        <v>2509.69</v>
      </c>
      <c r="L196" s="207">
        <v>0</v>
      </c>
    </row>
    <row r="197" spans="1:12">
      <c r="A197" s="894">
        <v>640</v>
      </c>
      <c r="B197" s="245">
        <v>500</v>
      </c>
      <c r="C197" s="245">
        <v>200</v>
      </c>
      <c r="D197" s="244">
        <v>350</v>
      </c>
      <c r="E197" s="244">
        <v>0</v>
      </c>
      <c r="F197" s="244">
        <v>0</v>
      </c>
      <c r="G197" s="378" t="s">
        <v>3376</v>
      </c>
      <c r="H197" s="45" t="s">
        <v>416</v>
      </c>
      <c r="I197" s="47"/>
      <c r="J197" s="47"/>
      <c r="K197" s="207">
        <v>0</v>
      </c>
      <c r="L197" s="207">
        <v>10038.67</v>
      </c>
    </row>
    <row r="198" spans="1:12">
      <c r="A198" s="894">
        <v>640</v>
      </c>
      <c r="B198" s="245">
        <v>500</v>
      </c>
      <c r="C198" s="245">
        <v>200</v>
      </c>
      <c r="D198" s="244">
        <v>400</v>
      </c>
      <c r="E198" s="244">
        <v>0</v>
      </c>
      <c r="F198" s="244">
        <v>0</v>
      </c>
      <c r="G198" s="378" t="s">
        <v>3377</v>
      </c>
      <c r="H198" s="45" t="s">
        <v>417</v>
      </c>
      <c r="I198" s="47"/>
      <c r="J198" s="47"/>
      <c r="K198" s="207">
        <v>6488.7</v>
      </c>
      <c r="L198" s="207">
        <v>6403.85</v>
      </c>
    </row>
    <row r="199" spans="1:12">
      <c r="A199" s="894">
        <v>640</v>
      </c>
      <c r="B199" s="245">
        <v>500</v>
      </c>
      <c r="C199" s="245">
        <v>200</v>
      </c>
      <c r="D199" s="244">
        <v>450</v>
      </c>
      <c r="E199" s="244">
        <v>0</v>
      </c>
      <c r="F199" s="244">
        <v>0</v>
      </c>
      <c r="G199" s="378" t="s">
        <v>3378</v>
      </c>
      <c r="H199" s="45" t="s">
        <v>418</v>
      </c>
      <c r="I199" s="47"/>
      <c r="J199" s="47"/>
      <c r="K199" s="207">
        <v>1415.21</v>
      </c>
      <c r="L199" s="207">
        <v>1642.47</v>
      </c>
    </row>
    <row r="200" spans="1:12" ht="25.5">
      <c r="A200" s="894">
        <v>640</v>
      </c>
      <c r="B200" s="245">
        <v>500</v>
      </c>
      <c r="C200" s="245">
        <v>200</v>
      </c>
      <c r="D200" s="244">
        <v>500</v>
      </c>
      <c r="E200" s="244">
        <v>0</v>
      </c>
      <c r="F200" s="244">
        <v>0</v>
      </c>
      <c r="G200" s="378" t="s">
        <v>3379</v>
      </c>
      <c r="H200" s="45" t="s">
        <v>419</v>
      </c>
      <c r="I200" s="47"/>
      <c r="J200" s="47"/>
      <c r="K200" s="207">
        <v>26204.83</v>
      </c>
      <c r="L200" s="207">
        <v>25353.33</v>
      </c>
    </row>
    <row r="201" spans="1:12" ht="25.5">
      <c r="A201" s="894">
        <v>640</v>
      </c>
      <c r="B201" s="245">
        <v>500</v>
      </c>
      <c r="C201" s="245">
        <v>200</v>
      </c>
      <c r="D201" s="244">
        <v>550</v>
      </c>
      <c r="E201" s="244">
        <v>0</v>
      </c>
      <c r="F201" s="244">
        <v>0</v>
      </c>
      <c r="G201" s="378" t="s">
        <v>3380</v>
      </c>
      <c r="H201" s="45" t="s">
        <v>420</v>
      </c>
      <c r="I201" s="47"/>
      <c r="J201" s="47"/>
      <c r="K201" s="207">
        <v>0</v>
      </c>
      <c r="L201" s="207">
        <v>0</v>
      </c>
    </row>
    <row r="202" spans="1:12">
      <c r="A202" s="894">
        <v>640</v>
      </c>
      <c r="B202" s="245">
        <v>500</v>
      </c>
      <c r="C202" s="245">
        <v>200</v>
      </c>
      <c r="D202" s="244">
        <v>600</v>
      </c>
      <c r="E202" s="244">
        <v>0</v>
      </c>
      <c r="F202" s="244">
        <v>0</v>
      </c>
      <c r="G202" s="378" t="s">
        <v>3381</v>
      </c>
      <c r="H202" s="45" t="s">
        <v>421</v>
      </c>
      <c r="I202" s="47"/>
      <c r="J202" s="47"/>
      <c r="K202" s="207">
        <v>0</v>
      </c>
      <c r="L202" s="207">
        <v>0</v>
      </c>
    </row>
    <row r="203" spans="1:12">
      <c r="A203" s="894">
        <v>640</v>
      </c>
      <c r="B203" s="245">
        <v>500</v>
      </c>
      <c r="C203" s="245">
        <v>200</v>
      </c>
      <c r="D203" s="244">
        <v>900</v>
      </c>
      <c r="E203" s="244">
        <v>0</v>
      </c>
      <c r="F203" s="244">
        <v>0</v>
      </c>
      <c r="G203" s="378" t="s">
        <v>3382</v>
      </c>
      <c r="H203" s="45" t="s">
        <v>408</v>
      </c>
      <c r="I203" s="47"/>
      <c r="J203" s="47"/>
      <c r="K203" s="207">
        <v>19222.68</v>
      </c>
      <c r="L203" s="207">
        <v>19169.580000000002</v>
      </c>
    </row>
    <row r="204" spans="1:12" ht="25.5">
      <c r="A204" s="242">
        <v>650</v>
      </c>
      <c r="B204" s="243">
        <v>0</v>
      </c>
      <c r="C204" s="243">
        <v>0</v>
      </c>
      <c r="D204" s="243">
        <v>0</v>
      </c>
      <c r="E204" s="243">
        <v>0</v>
      </c>
      <c r="F204" s="243">
        <v>0</v>
      </c>
      <c r="G204" s="376">
        <v>650</v>
      </c>
      <c r="H204" s="41" t="s">
        <v>422</v>
      </c>
      <c r="I204" s="42" t="s">
        <v>423</v>
      </c>
      <c r="J204" s="42"/>
      <c r="K204" s="210">
        <v>0</v>
      </c>
      <c r="L204" s="210">
        <v>0</v>
      </c>
    </row>
    <row r="205" spans="1:12" ht="38.25">
      <c r="A205" s="894">
        <v>650</v>
      </c>
      <c r="B205" s="245">
        <v>100</v>
      </c>
      <c r="C205" s="245">
        <v>0</v>
      </c>
      <c r="D205" s="245">
        <v>0</v>
      </c>
      <c r="E205" s="245">
        <v>0</v>
      </c>
      <c r="F205" s="245">
        <v>0</v>
      </c>
      <c r="G205" s="379" t="s">
        <v>3383</v>
      </c>
      <c r="H205" s="45" t="s">
        <v>2096</v>
      </c>
      <c r="I205" s="44" t="s">
        <v>424</v>
      </c>
      <c r="J205" s="44"/>
      <c r="K205" s="207">
        <v>1657734.1</v>
      </c>
      <c r="L205" s="207">
        <v>1545792.5</v>
      </c>
    </row>
    <row r="206" spans="1:12" ht="25.5">
      <c r="A206" s="894">
        <v>650</v>
      </c>
      <c r="B206" s="245">
        <v>200</v>
      </c>
      <c r="C206" s="245">
        <v>0</v>
      </c>
      <c r="D206" s="245">
        <v>0</v>
      </c>
      <c r="E206" s="245">
        <v>0</v>
      </c>
      <c r="F206" s="245">
        <v>0</v>
      </c>
      <c r="G206" s="379" t="s">
        <v>3384</v>
      </c>
      <c r="H206" s="45" t="s">
        <v>425</v>
      </c>
      <c r="I206" s="44" t="s">
        <v>426</v>
      </c>
      <c r="J206" s="44"/>
      <c r="K206" s="207">
        <v>14614.1</v>
      </c>
      <c r="L206" s="207">
        <v>10927.7</v>
      </c>
    </row>
    <row r="207" spans="1:12" ht="25.5">
      <c r="A207" s="894">
        <v>650</v>
      </c>
      <c r="B207" s="245">
        <v>300</v>
      </c>
      <c r="C207" s="245">
        <v>0</v>
      </c>
      <c r="D207" s="245">
        <v>0</v>
      </c>
      <c r="E207" s="245">
        <v>0</v>
      </c>
      <c r="F207" s="245">
        <v>0</v>
      </c>
      <c r="G207" s="379" t="s">
        <v>3385</v>
      </c>
      <c r="H207" s="45" t="s">
        <v>427</v>
      </c>
      <c r="I207" s="44" t="s">
        <v>428</v>
      </c>
      <c r="J207" s="44"/>
      <c r="K207" s="207">
        <v>0</v>
      </c>
      <c r="L207" s="207">
        <v>0</v>
      </c>
    </row>
    <row r="208" spans="1:12">
      <c r="A208" s="242">
        <v>660</v>
      </c>
      <c r="B208" s="243">
        <v>0</v>
      </c>
      <c r="C208" s="243">
        <v>0</v>
      </c>
      <c r="D208" s="243">
        <v>0</v>
      </c>
      <c r="E208" s="243">
        <v>0</v>
      </c>
      <c r="F208" s="243">
        <v>0</v>
      </c>
      <c r="G208" s="376">
        <v>660</v>
      </c>
      <c r="H208" s="41" t="s">
        <v>429</v>
      </c>
      <c r="I208" s="42" t="s">
        <v>430</v>
      </c>
      <c r="J208" s="42"/>
      <c r="K208" s="210">
        <v>0</v>
      </c>
      <c r="L208" s="210">
        <v>0</v>
      </c>
    </row>
    <row r="209" spans="1:12" ht="25.5">
      <c r="A209" s="894">
        <v>660</v>
      </c>
      <c r="B209" s="245">
        <v>100</v>
      </c>
      <c r="C209" s="245">
        <v>0</v>
      </c>
      <c r="D209" s="245">
        <v>0</v>
      </c>
      <c r="E209" s="245">
        <v>0</v>
      </c>
      <c r="F209" s="245">
        <v>0</v>
      </c>
      <c r="G209" s="379" t="s">
        <v>3386</v>
      </c>
      <c r="H209" s="45" t="s">
        <v>431</v>
      </c>
      <c r="I209" s="44" t="s">
        <v>432</v>
      </c>
      <c r="J209" s="44"/>
      <c r="K209" s="207">
        <v>555733.72</v>
      </c>
      <c r="L209" s="207">
        <v>506034.04</v>
      </c>
    </row>
    <row r="210" spans="1:12" ht="25.5">
      <c r="A210" s="894">
        <v>660</v>
      </c>
      <c r="B210" s="245">
        <v>200</v>
      </c>
      <c r="C210" s="245">
        <v>0</v>
      </c>
      <c r="D210" s="245">
        <v>0</v>
      </c>
      <c r="E210" s="245">
        <v>0</v>
      </c>
      <c r="F210" s="245">
        <v>0</v>
      </c>
      <c r="G210" s="379" t="s">
        <v>3387</v>
      </c>
      <c r="H210" s="45" t="s">
        <v>433</v>
      </c>
      <c r="I210" s="44" t="s">
        <v>434</v>
      </c>
      <c r="J210" s="44"/>
      <c r="K210" s="207">
        <v>1737503.01</v>
      </c>
      <c r="L210" s="207">
        <v>1466889.58</v>
      </c>
    </row>
    <row r="211" spans="1:12" ht="25.5">
      <c r="A211" s="894">
        <v>660</v>
      </c>
      <c r="B211" s="245">
        <v>300</v>
      </c>
      <c r="C211" s="245">
        <v>0</v>
      </c>
      <c r="D211" s="245">
        <v>0</v>
      </c>
      <c r="E211" s="245">
        <v>0</v>
      </c>
      <c r="F211" s="245">
        <v>0</v>
      </c>
      <c r="G211" s="379" t="s">
        <v>3388</v>
      </c>
      <c r="H211" s="45" t="s">
        <v>435</v>
      </c>
      <c r="I211" s="44" t="s">
        <v>436</v>
      </c>
      <c r="J211" s="44"/>
      <c r="K211" s="207">
        <v>185533.9</v>
      </c>
      <c r="L211" s="207">
        <v>0</v>
      </c>
    </row>
    <row r="212" spans="1:12" ht="25.5">
      <c r="A212" s="894">
        <v>660</v>
      </c>
      <c r="B212" s="245">
        <v>400</v>
      </c>
      <c r="C212" s="245">
        <v>0</v>
      </c>
      <c r="D212" s="245">
        <v>0</v>
      </c>
      <c r="E212" s="245">
        <v>0</v>
      </c>
      <c r="F212" s="245">
        <v>0</v>
      </c>
      <c r="G212" s="379" t="s">
        <v>3389</v>
      </c>
      <c r="H212" s="45" t="s">
        <v>437</v>
      </c>
      <c r="I212" s="44" t="s">
        <v>438</v>
      </c>
      <c r="J212" s="44"/>
      <c r="K212" s="207">
        <v>0</v>
      </c>
      <c r="L212" s="207">
        <v>0</v>
      </c>
    </row>
    <row r="213" spans="1:12" ht="25.5">
      <c r="A213" s="894">
        <v>660</v>
      </c>
      <c r="B213" s="245">
        <v>500</v>
      </c>
      <c r="C213" s="245">
        <v>0</v>
      </c>
      <c r="D213" s="245">
        <v>0</v>
      </c>
      <c r="E213" s="245">
        <v>0</v>
      </c>
      <c r="F213" s="245">
        <v>0</v>
      </c>
      <c r="G213" s="379" t="s">
        <v>3390</v>
      </c>
      <c r="H213" s="45" t="s">
        <v>439</v>
      </c>
      <c r="I213" s="44" t="s">
        <v>440</v>
      </c>
      <c r="J213" s="44"/>
      <c r="K213" s="207">
        <v>16467.14</v>
      </c>
      <c r="L213" s="207">
        <v>0</v>
      </c>
    </row>
    <row r="214" spans="1:12" ht="25.5">
      <c r="A214" s="894">
        <v>660</v>
      </c>
      <c r="B214" s="245">
        <v>600</v>
      </c>
      <c r="C214" s="245">
        <v>0</v>
      </c>
      <c r="D214" s="245">
        <v>0</v>
      </c>
      <c r="E214" s="245">
        <v>0</v>
      </c>
      <c r="F214" s="245">
        <v>0</v>
      </c>
      <c r="G214" s="379" t="s">
        <v>3391</v>
      </c>
      <c r="H214" s="45" t="s">
        <v>441</v>
      </c>
      <c r="I214" s="44" t="s">
        <v>442</v>
      </c>
      <c r="J214" s="44"/>
      <c r="K214" s="207">
        <v>523277.91</v>
      </c>
      <c r="L214" s="207">
        <v>812341.8</v>
      </c>
    </row>
    <row r="215" spans="1:12" ht="25.5">
      <c r="A215" s="247">
        <v>670</v>
      </c>
      <c r="B215" s="248">
        <v>0</v>
      </c>
      <c r="C215" s="248">
        <v>0</v>
      </c>
      <c r="D215" s="248">
        <v>0</v>
      </c>
      <c r="E215" s="248">
        <v>0</v>
      </c>
      <c r="F215" s="248">
        <v>0</v>
      </c>
      <c r="G215" s="381" t="s">
        <v>3392</v>
      </c>
      <c r="H215" s="56" t="s">
        <v>30</v>
      </c>
      <c r="I215" s="130" t="s">
        <v>443</v>
      </c>
      <c r="J215" s="130"/>
      <c r="K215" s="214">
        <v>7864.95</v>
      </c>
      <c r="L215" s="214">
        <v>0</v>
      </c>
    </row>
    <row r="216" spans="1:12">
      <c r="A216" s="242">
        <v>680</v>
      </c>
      <c r="B216" s="243">
        <v>0</v>
      </c>
      <c r="C216" s="243">
        <v>0</v>
      </c>
      <c r="D216" s="243">
        <v>0</v>
      </c>
      <c r="E216" s="243">
        <v>0</v>
      </c>
      <c r="F216" s="243">
        <v>0</v>
      </c>
      <c r="G216" s="376">
        <v>680</v>
      </c>
      <c r="H216" s="41" t="s">
        <v>31</v>
      </c>
      <c r="I216" s="42" t="s">
        <v>444</v>
      </c>
      <c r="J216" s="42"/>
      <c r="K216" s="210">
        <v>0</v>
      </c>
      <c r="L216" s="210">
        <v>0</v>
      </c>
    </row>
    <row r="217" spans="1:12">
      <c r="A217" s="894">
        <v>680</v>
      </c>
      <c r="B217" s="245">
        <v>100</v>
      </c>
      <c r="C217" s="245">
        <v>0</v>
      </c>
      <c r="D217" s="245">
        <v>0</v>
      </c>
      <c r="E217" s="245">
        <v>0</v>
      </c>
      <c r="F217" s="245">
        <v>0</v>
      </c>
      <c r="G217" s="377" t="s">
        <v>3393</v>
      </c>
      <c r="H217" s="43" t="s">
        <v>445</v>
      </c>
      <c r="I217" s="44" t="s">
        <v>446</v>
      </c>
      <c r="J217" s="44"/>
      <c r="K217" s="208">
        <v>0</v>
      </c>
      <c r="L217" s="208">
        <v>0</v>
      </c>
    </row>
    <row r="218" spans="1:12">
      <c r="A218" s="894">
        <v>680</v>
      </c>
      <c r="B218" s="245">
        <v>100</v>
      </c>
      <c r="C218" s="244">
        <v>100</v>
      </c>
      <c r="D218" s="244">
        <v>0</v>
      </c>
      <c r="E218" s="244">
        <v>0</v>
      </c>
      <c r="F218" s="244">
        <v>0</v>
      </c>
      <c r="G218" s="378" t="s">
        <v>3394</v>
      </c>
      <c r="H218" s="45" t="s">
        <v>447</v>
      </c>
      <c r="I218" s="47"/>
      <c r="J218" s="47"/>
      <c r="K218" s="207">
        <v>0</v>
      </c>
      <c r="L218" s="207">
        <v>0</v>
      </c>
    </row>
    <row r="219" spans="1:12" ht="25.5">
      <c r="A219" s="894">
        <v>680</v>
      </c>
      <c r="B219" s="245">
        <v>100</v>
      </c>
      <c r="C219" s="244">
        <v>200</v>
      </c>
      <c r="D219" s="244">
        <v>0</v>
      </c>
      <c r="E219" s="244">
        <v>0</v>
      </c>
      <c r="F219" s="244">
        <v>0</v>
      </c>
      <c r="G219" s="378" t="s">
        <v>3395</v>
      </c>
      <c r="H219" s="45" t="s">
        <v>448</v>
      </c>
      <c r="I219" s="47"/>
      <c r="J219" s="47"/>
      <c r="K219" s="207">
        <v>0</v>
      </c>
      <c r="L219" s="207">
        <v>0</v>
      </c>
    </row>
    <row r="220" spans="1:12">
      <c r="A220" s="894">
        <v>680</v>
      </c>
      <c r="B220" s="245">
        <v>100</v>
      </c>
      <c r="C220" s="244">
        <v>900</v>
      </c>
      <c r="D220" s="244">
        <v>0</v>
      </c>
      <c r="E220" s="244">
        <v>0</v>
      </c>
      <c r="F220" s="244">
        <v>0</v>
      </c>
      <c r="G220" s="378" t="s">
        <v>3396</v>
      </c>
      <c r="H220" s="45" t="s">
        <v>449</v>
      </c>
      <c r="I220" s="47"/>
      <c r="J220" s="47"/>
      <c r="K220" s="207">
        <v>0</v>
      </c>
      <c r="L220" s="207">
        <v>12000.15</v>
      </c>
    </row>
    <row r="221" spans="1:12">
      <c r="A221" s="894">
        <v>680</v>
      </c>
      <c r="B221" s="245">
        <v>200</v>
      </c>
      <c r="C221" s="245">
        <v>0</v>
      </c>
      <c r="D221" s="245">
        <v>0</v>
      </c>
      <c r="E221" s="245">
        <v>0</v>
      </c>
      <c r="F221" s="245">
        <v>0</v>
      </c>
      <c r="G221" s="377" t="s">
        <v>3397</v>
      </c>
      <c r="H221" s="43" t="s">
        <v>450</v>
      </c>
      <c r="I221" s="44" t="s">
        <v>451</v>
      </c>
      <c r="J221" s="44"/>
      <c r="K221" s="208">
        <v>0</v>
      </c>
      <c r="L221" s="208">
        <v>0</v>
      </c>
    </row>
    <row r="222" spans="1:12">
      <c r="A222" s="894">
        <v>680</v>
      </c>
      <c r="B222" s="245">
        <v>200</v>
      </c>
      <c r="C222" s="244">
        <v>100</v>
      </c>
      <c r="D222" s="244">
        <v>0</v>
      </c>
      <c r="E222" s="244">
        <v>0</v>
      </c>
      <c r="F222" s="244">
        <v>0</v>
      </c>
      <c r="G222" s="378" t="s">
        <v>3398</v>
      </c>
      <c r="H222" s="45" t="s">
        <v>452</v>
      </c>
      <c r="I222" s="47"/>
      <c r="J222" s="47"/>
      <c r="K222" s="207">
        <v>0</v>
      </c>
      <c r="L222" s="207">
        <v>0</v>
      </c>
    </row>
    <row r="223" spans="1:12">
      <c r="A223" s="894">
        <v>680</v>
      </c>
      <c r="B223" s="245">
        <v>200</v>
      </c>
      <c r="C223" s="244">
        <v>200</v>
      </c>
      <c r="D223" s="244">
        <v>0</v>
      </c>
      <c r="E223" s="244">
        <v>0</v>
      </c>
      <c r="F223" s="244">
        <v>0</v>
      </c>
      <c r="G223" s="378" t="s">
        <v>3399</v>
      </c>
      <c r="H223" s="45" t="s">
        <v>453</v>
      </c>
      <c r="I223" s="47"/>
      <c r="J223" s="47"/>
      <c r="K223" s="207">
        <v>1359.02</v>
      </c>
      <c r="L223" s="207">
        <v>15276.24</v>
      </c>
    </row>
    <row r="224" spans="1:12" ht="25.5">
      <c r="A224" s="894">
        <v>680</v>
      </c>
      <c r="B224" s="245">
        <v>200</v>
      </c>
      <c r="C224" s="244">
        <v>900</v>
      </c>
      <c r="D224" s="244">
        <v>0</v>
      </c>
      <c r="E224" s="244">
        <v>0</v>
      </c>
      <c r="F224" s="244">
        <v>0</v>
      </c>
      <c r="G224" s="378" t="s">
        <v>3400</v>
      </c>
      <c r="H224" s="45" t="s">
        <v>454</v>
      </c>
      <c r="I224" s="47"/>
      <c r="J224" s="47"/>
      <c r="K224" s="207">
        <v>0</v>
      </c>
      <c r="L224" s="207">
        <v>0</v>
      </c>
    </row>
    <row r="225" spans="1:12">
      <c r="A225" s="894">
        <v>680</v>
      </c>
      <c r="B225" s="895">
        <v>300</v>
      </c>
      <c r="C225" s="245">
        <v>0</v>
      </c>
      <c r="D225" s="245">
        <v>0</v>
      </c>
      <c r="E225" s="245">
        <v>0</v>
      </c>
      <c r="F225" s="245">
        <v>0</v>
      </c>
      <c r="G225" s="382" t="s">
        <v>3401</v>
      </c>
      <c r="H225" s="48" t="s">
        <v>455</v>
      </c>
      <c r="I225" s="44" t="s">
        <v>456</v>
      </c>
      <c r="J225" s="44"/>
      <c r="K225" s="208">
        <v>0</v>
      </c>
      <c r="L225" s="208">
        <v>0</v>
      </c>
    </row>
    <row r="226" spans="1:12" ht="25.5">
      <c r="A226" s="894">
        <v>680</v>
      </c>
      <c r="B226" s="895">
        <v>300</v>
      </c>
      <c r="C226" s="244">
        <v>100</v>
      </c>
      <c r="D226" s="244">
        <v>0</v>
      </c>
      <c r="E226" s="244">
        <v>0</v>
      </c>
      <c r="F226" s="244">
        <v>0</v>
      </c>
      <c r="G226" s="378" t="s">
        <v>3402</v>
      </c>
      <c r="H226" s="45" t="s">
        <v>457</v>
      </c>
      <c r="I226" s="47"/>
      <c r="J226" s="47"/>
      <c r="K226" s="207">
        <v>0</v>
      </c>
      <c r="L226" s="207">
        <v>0</v>
      </c>
    </row>
    <row r="227" spans="1:12">
      <c r="A227" s="894">
        <v>680</v>
      </c>
      <c r="B227" s="895">
        <v>300</v>
      </c>
      <c r="C227" s="244">
        <v>200</v>
      </c>
      <c r="D227" s="244">
        <v>0</v>
      </c>
      <c r="E227" s="244">
        <v>0</v>
      </c>
      <c r="F227" s="244">
        <v>0</v>
      </c>
      <c r="G227" s="378" t="s">
        <v>3403</v>
      </c>
      <c r="H227" s="45" t="s">
        <v>458</v>
      </c>
      <c r="I227" s="47"/>
      <c r="J227" s="47"/>
      <c r="K227" s="207">
        <v>0</v>
      </c>
      <c r="L227" s="207">
        <v>0</v>
      </c>
    </row>
    <row r="228" spans="1:12">
      <c r="A228" s="894">
        <v>680</v>
      </c>
      <c r="B228" s="245">
        <v>300</v>
      </c>
      <c r="C228" s="244">
        <v>900</v>
      </c>
      <c r="D228" s="244">
        <v>0</v>
      </c>
      <c r="E228" s="244">
        <v>0</v>
      </c>
      <c r="F228" s="244">
        <v>0</v>
      </c>
      <c r="G228" s="378" t="s">
        <v>3404</v>
      </c>
      <c r="H228" s="45" t="s">
        <v>455</v>
      </c>
      <c r="I228" s="47"/>
      <c r="J228" s="47"/>
      <c r="K228" s="207">
        <v>286351.51</v>
      </c>
      <c r="L228" s="207">
        <v>279464.34999999998</v>
      </c>
    </row>
    <row r="229" spans="1:12">
      <c r="A229" s="242">
        <v>690</v>
      </c>
      <c r="B229" s="243">
        <v>0</v>
      </c>
      <c r="C229" s="243">
        <v>0</v>
      </c>
      <c r="D229" s="243">
        <v>0</v>
      </c>
      <c r="E229" s="243">
        <v>0</v>
      </c>
      <c r="F229" s="243">
        <v>0</v>
      </c>
      <c r="G229" s="376">
        <v>690</v>
      </c>
      <c r="H229" s="41" t="s">
        <v>459</v>
      </c>
      <c r="I229" s="42" t="s">
        <v>460</v>
      </c>
      <c r="J229" s="42"/>
      <c r="K229" s="210">
        <v>0</v>
      </c>
      <c r="L229" s="210">
        <v>0</v>
      </c>
    </row>
    <row r="230" spans="1:12">
      <c r="A230" s="896">
        <v>690</v>
      </c>
      <c r="B230" s="244">
        <v>100</v>
      </c>
      <c r="C230" s="244">
        <v>0</v>
      </c>
      <c r="D230" s="244">
        <v>0</v>
      </c>
      <c r="E230" s="244">
        <v>0</v>
      </c>
      <c r="F230" s="244">
        <v>0</v>
      </c>
      <c r="G230" s="378" t="s">
        <v>3405</v>
      </c>
      <c r="H230" s="45" t="s">
        <v>461</v>
      </c>
      <c r="I230" s="47" t="s">
        <v>462</v>
      </c>
      <c r="J230" s="47"/>
      <c r="K230" s="207">
        <v>0.08</v>
      </c>
      <c r="L230" s="207">
        <v>7.0000000000000007E-2</v>
      </c>
    </row>
    <row r="231" spans="1:12">
      <c r="A231" s="896">
        <v>690</v>
      </c>
      <c r="B231" s="244">
        <v>200</v>
      </c>
      <c r="C231" s="244">
        <v>0</v>
      </c>
      <c r="D231" s="244">
        <v>0</v>
      </c>
      <c r="E231" s="244">
        <v>0</v>
      </c>
      <c r="F231" s="244">
        <v>0</v>
      </c>
      <c r="G231" s="380" t="s">
        <v>3406</v>
      </c>
      <c r="H231" s="43" t="s">
        <v>463</v>
      </c>
      <c r="I231" s="47" t="s">
        <v>464</v>
      </c>
      <c r="J231" s="47"/>
      <c r="K231" s="208">
        <v>0</v>
      </c>
      <c r="L231" s="208">
        <v>0</v>
      </c>
    </row>
    <row r="232" spans="1:12">
      <c r="A232" s="896">
        <v>690</v>
      </c>
      <c r="B232" s="244">
        <v>200</v>
      </c>
      <c r="C232" s="244">
        <v>100</v>
      </c>
      <c r="D232" s="244">
        <v>0</v>
      </c>
      <c r="E232" s="244">
        <v>0</v>
      </c>
      <c r="F232" s="244">
        <v>0</v>
      </c>
      <c r="G232" s="378" t="s">
        <v>3407</v>
      </c>
      <c r="H232" s="49" t="s">
        <v>465</v>
      </c>
      <c r="I232" s="47"/>
      <c r="J232" s="47"/>
      <c r="K232" s="207">
        <v>499.12</v>
      </c>
      <c r="L232" s="207">
        <v>0</v>
      </c>
    </row>
    <row r="233" spans="1:12">
      <c r="A233" s="896">
        <v>690</v>
      </c>
      <c r="B233" s="244">
        <v>200</v>
      </c>
      <c r="C233" s="249">
        <v>200</v>
      </c>
      <c r="D233" s="249">
        <v>0</v>
      </c>
      <c r="E233" s="249">
        <v>0</v>
      </c>
      <c r="F233" s="249">
        <v>0</v>
      </c>
      <c r="G233" s="383" t="s">
        <v>3408</v>
      </c>
      <c r="H233" s="50" t="s">
        <v>466</v>
      </c>
      <c r="I233" s="47"/>
      <c r="J233" s="47"/>
      <c r="K233" s="207">
        <v>0</v>
      </c>
      <c r="L233" s="207">
        <v>1.21</v>
      </c>
    </row>
    <row r="234" spans="1:12">
      <c r="A234" s="896">
        <v>690</v>
      </c>
      <c r="B234" s="244">
        <v>300</v>
      </c>
      <c r="C234" s="244">
        <v>0</v>
      </c>
      <c r="D234" s="244">
        <v>0</v>
      </c>
      <c r="E234" s="244">
        <v>0</v>
      </c>
      <c r="F234" s="244">
        <v>0</v>
      </c>
      <c r="G234" s="380" t="s">
        <v>3409</v>
      </c>
      <c r="H234" s="43" t="s">
        <v>467</v>
      </c>
      <c r="I234" s="47" t="s">
        <v>468</v>
      </c>
      <c r="J234" s="47"/>
      <c r="K234" s="208">
        <v>0</v>
      </c>
      <c r="L234" s="208">
        <v>0</v>
      </c>
    </row>
    <row r="235" spans="1:12">
      <c r="A235" s="896">
        <v>690</v>
      </c>
      <c r="B235" s="244">
        <v>300</v>
      </c>
      <c r="C235" s="244">
        <v>100</v>
      </c>
      <c r="D235" s="244">
        <v>0</v>
      </c>
      <c r="E235" s="244">
        <v>0</v>
      </c>
      <c r="F235" s="244">
        <v>0</v>
      </c>
      <c r="G235" s="378" t="s">
        <v>3410</v>
      </c>
      <c r="H235" s="49" t="s">
        <v>469</v>
      </c>
      <c r="I235" s="47"/>
      <c r="J235" s="47"/>
      <c r="K235" s="207">
        <v>0</v>
      </c>
      <c r="L235" s="207">
        <v>0</v>
      </c>
    </row>
    <row r="236" spans="1:12">
      <c r="A236" s="896">
        <v>690</v>
      </c>
      <c r="B236" s="244">
        <v>300</v>
      </c>
      <c r="C236" s="244">
        <v>200</v>
      </c>
      <c r="D236" s="244">
        <v>0</v>
      </c>
      <c r="E236" s="244">
        <v>0</v>
      </c>
      <c r="F236" s="244">
        <v>0</v>
      </c>
      <c r="G236" s="378" t="s">
        <v>3411</v>
      </c>
      <c r="H236" s="49" t="s">
        <v>470</v>
      </c>
      <c r="I236" s="47"/>
      <c r="J236" s="47"/>
      <c r="K236" s="207">
        <v>262.18</v>
      </c>
      <c r="L236" s="207">
        <v>0</v>
      </c>
    </row>
    <row r="237" spans="1:12">
      <c r="A237" s="897">
        <v>690</v>
      </c>
      <c r="B237" s="898">
        <v>300</v>
      </c>
      <c r="C237" s="249">
        <v>900</v>
      </c>
      <c r="D237" s="249">
        <v>0</v>
      </c>
      <c r="E237" s="249">
        <v>0</v>
      </c>
      <c r="F237" s="249">
        <v>0</v>
      </c>
      <c r="G237" s="383" t="s">
        <v>3412</v>
      </c>
      <c r="H237" s="50" t="s">
        <v>467</v>
      </c>
      <c r="I237" s="47"/>
      <c r="J237" s="47"/>
      <c r="K237" s="207">
        <v>0</v>
      </c>
      <c r="L237" s="207">
        <v>0</v>
      </c>
    </row>
    <row r="238" spans="1:12">
      <c r="A238" s="250">
        <v>700</v>
      </c>
      <c r="B238" s="251">
        <v>0</v>
      </c>
      <c r="C238" s="251">
        <v>0</v>
      </c>
      <c r="D238" s="251">
        <v>0</v>
      </c>
      <c r="E238" s="251">
        <v>0</v>
      </c>
      <c r="F238" s="251">
        <v>0</v>
      </c>
      <c r="G238" s="384">
        <v>700</v>
      </c>
      <c r="H238" s="41" t="s">
        <v>471</v>
      </c>
      <c r="I238" s="42" t="s">
        <v>472</v>
      </c>
      <c r="J238" s="42"/>
      <c r="K238" s="210">
        <v>0</v>
      </c>
      <c r="L238" s="210">
        <v>0</v>
      </c>
    </row>
    <row r="239" spans="1:12">
      <c r="A239" s="896">
        <v>700</v>
      </c>
      <c r="B239" s="244">
        <v>100</v>
      </c>
      <c r="C239" s="244">
        <v>0</v>
      </c>
      <c r="D239" s="244">
        <v>0</v>
      </c>
      <c r="E239" s="244">
        <v>0</v>
      </c>
      <c r="F239" s="244">
        <v>0</v>
      </c>
      <c r="G239" s="378" t="s">
        <v>3413</v>
      </c>
      <c r="H239" s="45" t="s">
        <v>473</v>
      </c>
      <c r="I239" s="47" t="s">
        <v>474</v>
      </c>
      <c r="J239" s="47"/>
      <c r="K239" s="207">
        <v>0</v>
      </c>
      <c r="L239" s="207">
        <v>0</v>
      </c>
    </row>
    <row r="240" spans="1:12" ht="25.5">
      <c r="A240" s="896">
        <v>700</v>
      </c>
      <c r="B240" s="244">
        <v>200</v>
      </c>
      <c r="C240" s="244">
        <v>0</v>
      </c>
      <c r="D240" s="244">
        <v>0</v>
      </c>
      <c r="E240" s="244">
        <v>0</v>
      </c>
      <c r="F240" s="244">
        <v>0</v>
      </c>
      <c r="G240" s="378" t="s">
        <v>3414</v>
      </c>
      <c r="H240" s="45" t="s">
        <v>475</v>
      </c>
      <c r="I240" s="47" t="s">
        <v>476</v>
      </c>
      <c r="J240" s="47"/>
      <c r="K240" s="207">
        <v>0</v>
      </c>
      <c r="L240" s="207">
        <v>0</v>
      </c>
    </row>
    <row r="241" spans="1:192" ht="25.5">
      <c r="A241" s="896">
        <v>700</v>
      </c>
      <c r="B241" s="244">
        <v>300</v>
      </c>
      <c r="C241" s="244">
        <v>0</v>
      </c>
      <c r="D241" s="244">
        <v>0</v>
      </c>
      <c r="E241" s="244">
        <v>0</v>
      </c>
      <c r="F241" s="244">
        <v>0</v>
      </c>
      <c r="G241" s="378" t="s">
        <v>3415</v>
      </c>
      <c r="H241" s="45" t="s">
        <v>477</v>
      </c>
      <c r="I241" s="47" t="s">
        <v>478</v>
      </c>
      <c r="J241" s="47"/>
      <c r="K241" s="207">
        <v>0</v>
      </c>
      <c r="L241" s="207">
        <v>0</v>
      </c>
    </row>
    <row r="242" spans="1:192">
      <c r="A242" s="896">
        <v>700</v>
      </c>
      <c r="B242" s="244">
        <v>400</v>
      </c>
      <c r="C242" s="244">
        <v>0</v>
      </c>
      <c r="D242" s="244">
        <v>0</v>
      </c>
      <c r="E242" s="244">
        <v>0</v>
      </c>
      <c r="F242" s="244">
        <v>0</v>
      </c>
      <c r="G242" s="378" t="s">
        <v>3416</v>
      </c>
      <c r="H242" s="45" t="s">
        <v>479</v>
      </c>
      <c r="I242" s="47" t="s">
        <v>480</v>
      </c>
      <c r="J242" s="47"/>
      <c r="K242" s="207">
        <v>0</v>
      </c>
      <c r="L242" s="207">
        <v>0</v>
      </c>
    </row>
    <row r="243" spans="1:192">
      <c r="A243" s="896">
        <v>700</v>
      </c>
      <c r="B243" s="244">
        <v>500</v>
      </c>
      <c r="C243" s="244">
        <v>0</v>
      </c>
      <c r="D243" s="244">
        <v>0</v>
      </c>
      <c r="E243" s="244">
        <v>0</v>
      </c>
      <c r="F243" s="244">
        <v>0</v>
      </c>
      <c r="G243" s="378" t="s">
        <v>3417</v>
      </c>
      <c r="H243" s="45" t="s">
        <v>481</v>
      </c>
      <c r="I243" s="47" t="s">
        <v>482</v>
      </c>
      <c r="J243" s="47"/>
      <c r="K243" s="207">
        <v>0</v>
      </c>
      <c r="L243" s="207">
        <v>0</v>
      </c>
    </row>
    <row r="244" spans="1:192" ht="25.5">
      <c r="A244" s="247">
        <v>710</v>
      </c>
      <c r="B244" s="248">
        <v>0</v>
      </c>
      <c r="C244" s="248">
        <v>0</v>
      </c>
      <c r="D244" s="248">
        <v>0</v>
      </c>
      <c r="E244" s="248">
        <v>0</v>
      </c>
      <c r="F244" s="248">
        <v>0</v>
      </c>
      <c r="G244" s="381" t="s">
        <v>3418</v>
      </c>
      <c r="H244" s="56" t="s">
        <v>483</v>
      </c>
      <c r="I244" s="130" t="s">
        <v>484</v>
      </c>
      <c r="J244" s="130"/>
      <c r="K244" s="214">
        <v>0</v>
      </c>
      <c r="L244" s="214">
        <v>0</v>
      </c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</row>
    <row r="245" spans="1:192">
      <c r="A245" s="242">
        <v>720</v>
      </c>
      <c r="B245" s="243">
        <v>0</v>
      </c>
      <c r="C245" s="243">
        <v>0</v>
      </c>
      <c r="D245" s="243">
        <v>0</v>
      </c>
      <c r="E245" s="243">
        <v>0</v>
      </c>
      <c r="F245" s="243">
        <v>0</v>
      </c>
      <c r="G245" s="376">
        <v>720</v>
      </c>
      <c r="H245" s="41" t="s">
        <v>99</v>
      </c>
      <c r="I245" s="42" t="s">
        <v>485</v>
      </c>
      <c r="J245" s="42"/>
      <c r="K245" s="210">
        <v>0</v>
      </c>
      <c r="L245" s="210">
        <v>0</v>
      </c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</row>
    <row r="246" spans="1:192">
      <c r="A246" s="896">
        <v>720</v>
      </c>
      <c r="B246" s="244">
        <v>100</v>
      </c>
      <c r="C246" s="244">
        <v>0</v>
      </c>
      <c r="D246" s="244">
        <v>0</v>
      </c>
      <c r="E246" s="244">
        <v>0</v>
      </c>
      <c r="F246" s="244">
        <v>0</v>
      </c>
      <c r="G246" s="378" t="s">
        <v>3419</v>
      </c>
      <c r="H246" s="45" t="s">
        <v>486</v>
      </c>
      <c r="I246" s="47" t="s">
        <v>487</v>
      </c>
      <c r="J246" s="47"/>
      <c r="K246" s="207">
        <v>0</v>
      </c>
      <c r="L246" s="207">
        <v>0</v>
      </c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</row>
    <row r="247" spans="1:192">
      <c r="A247" s="896">
        <v>720</v>
      </c>
      <c r="B247" s="244">
        <v>200</v>
      </c>
      <c r="C247" s="244">
        <v>0</v>
      </c>
      <c r="D247" s="244">
        <v>0</v>
      </c>
      <c r="E247" s="244">
        <v>0</v>
      </c>
      <c r="F247" s="244">
        <v>0</v>
      </c>
      <c r="G247" s="380" t="s">
        <v>3420</v>
      </c>
      <c r="H247" s="43" t="s">
        <v>488</v>
      </c>
      <c r="I247" s="47" t="s">
        <v>489</v>
      </c>
      <c r="J247" s="47"/>
      <c r="K247" s="208">
        <v>0</v>
      </c>
      <c r="L247" s="208">
        <v>0</v>
      </c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</row>
    <row r="248" spans="1:192">
      <c r="A248" s="896">
        <v>720</v>
      </c>
      <c r="B248" s="244">
        <v>200</v>
      </c>
      <c r="C248" s="244">
        <v>100</v>
      </c>
      <c r="D248" s="244">
        <v>0</v>
      </c>
      <c r="E248" s="244">
        <v>0</v>
      </c>
      <c r="F248" s="244">
        <v>0</v>
      </c>
      <c r="G248" s="380" t="s">
        <v>3421</v>
      </c>
      <c r="H248" s="43" t="s">
        <v>490</v>
      </c>
      <c r="I248" s="47" t="s">
        <v>491</v>
      </c>
      <c r="J248" s="47"/>
      <c r="K248" s="207">
        <v>18228.810000000001</v>
      </c>
      <c r="L248" s="207">
        <v>8830</v>
      </c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</row>
    <row r="249" spans="1:192">
      <c r="A249" s="896">
        <v>720</v>
      </c>
      <c r="B249" s="244">
        <v>200</v>
      </c>
      <c r="C249" s="244">
        <v>200</v>
      </c>
      <c r="D249" s="244">
        <v>0</v>
      </c>
      <c r="E249" s="244">
        <v>0</v>
      </c>
      <c r="F249" s="244">
        <v>0</v>
      </c>
      <c r="G249" s="380" t="s">
        <v>3422</v>
      </c>
      <c r="H249" s="43" t="s">
        <v>492</v>
      </c>
      <c r="I249" s="47" t="s">
        <v>493</v>
      </c>
      <c r="J249" s="47"/>
      <c r="K249" s="208">
        <v>0</v>
      </c>
      <c r="L249" s="208">
        <v>0</v>
      </c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</row>
    <row r="250" spans="1:192">
      <c r="A250" s="896">
        <v>720</v>
      </c>
      <c r="B250" s="244">
        <v>200</v>
      </c>
      <c r="C250" s="244">
        <v>200</v>
      </c>
      <c r="D250" s="244">
        <v>50</v>
      </c>
      <c r="E250" s="244">
        <v>0</v>
      </c>
      <c r="F250" s="244">
        <v>0</v>
      </c>
      <c r="G250" s="380" t="s">
        <v>3423</v>
      </c>
      <c r="H250" s="45" t="s">
        <v>494</v>
      </c>
      <c r="I250" s="47" t="s">
        <v>495</v>
      </c>
      <c r="J250" s="47"/>
      <c r="K250" s="211">
        <v>0</v>
      </c>
      <c r="L250" s="211">
        <v>786949.67</v>
      </c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</row>
    <row r="251" spans="1:192" ht="25.5">
      <c r="A251" s="896">
        <v>720</v>
      </c>
      <c r="B251" s="244">
        <v>200</v>
      </c>
      <c r="C251" s="244">
        <v>200</v>
      </c>
      <c r="D251" s="244">
        <v>100</v>
      </c>
      <c r="E251" s="244">
        <v>0</v>
      </c>
      <c r="F251" s="244">
        <v>0</v>
      </c>
      <c r="G251" s="378" t="s">
        <v>3424</v>
      </c>
      <c r="H251" s="45" t="s">
        <v>496</v>
      </c>
      <c r="I251" s="47" t="s">
        <v>497</v>
      </c>
      <c r="J251" s="47" t="s">
        <v>1522</v>
      </c>
      <c r="K251" s="207">
        <v>0</v>
      </c>
      <c r="L251" s="207">
        <v>820.19</v>
      </c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</row>
    <row r="252" spans="1:192">
      <c r="A252" s="896">
        <v>720</v>
      </c>
      <c r="B252" s="244">
        <v>200</v>
      </c>
      <c r="C252" s="244">
        <v>200</v>
      </c>
      <c r="D252" s="244">
        <v>200</v>
      </c>
      <c r="E252" s="244">
        <v>0</v>
      </c>
      <c r="F252" s="244">
        <v>0</v>
      </c>
      <c r="G252" s="380" t="s">
        <v>3425</v>
      </c>
      <c r="H252" s="43" t="s">
        <v>498</v>
      </c>
      <c r="I252" s="47" t="s">
        <v>499</v>
      </c>
      <c r="J252" s="47"/>
      <c r="K252" s="208">
        <v>0</v>
      </c>
      <c r="L252" s="208">
        <v>0</v>
      </c>
    </row>
    <row r="253" spans="1:192" ht="25.5">
      <c r="A253" s="896">
        <v>720</v>
      </c>
      <c r="B253" s="244">
        <v>200</v>
      </c>
      <c r="C253" s="244">
        <v>200</v>
      </c>
      <c r="D253" s="244">
        <v>200</v>
      </c>
      <c r="E253" s="244">
        <v>10</v>
      </c>
      <c r="F253" s="246">
        <v>0</v>
      </c>
      <c r="G253" s="378" t="s">
        <v>3426</v>
      </c>
      <c r="H253" s="45" t="s">
        <v>500</v>
      </c>
      <c r="I253" s="47" t="s">
        <v>501</v>
      </c>
      <c r="J253" s="47" t="s">
        <v>1567</v>
      </c>
      <c r="K253" s="207">
        <v>0</v>
      </c>
      <c r="L253" s="207">
        <v>0</v>
      </c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</row>
    <row r="254" spans="1:192">
      <c r="A254" s="896">
        <v>720</v>
      </c>
      <c r="B254" s="244">
        <v>200</v>
      </c>
      <c r="C254" s="244">
        <v>200</v>
      </c>
      <c r="D254" s="244">
        <v>200</v>
      </c>
      <c r="E254" s="244">
        <v>20</v>
      </c>
      <c r="F254" s="246">
        <v>0</v>
      </c>
      <c r="G254" s="378" t="s">
        <v>3427</v>
      </c>
      <c r="H254" s="45" t="s">
        <v>502</v>
      </c>
      <c r="I254" s="47" t="s">
        <v>503</v>
      </c>
      <c r="J254" s="47"/>
      <c r="K254" s="207">
        <v>4635.9799999999996</v>
      </c>
      <c r="L254" s="207">
        <v>16731.21</v>
      </c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</row>
    <row r="255" spans="1:192" ht="25.5">
      <c r="A255" s="896">
        <v>720</v>
      </c>
      <c r="B255" s="244">
        <v>200</v>
      </c>
      <c r="C255" s="244">
        <v>200</v>
      </c>
      <c r="D255" s="244">
        <v>200</v>
      </c>
      <c r="E255" s="244">
        <v>30</v>
      </c>
      <c r="F255" s="246">
        <v>0</v>
      </c>
      <c r="G255" s="378" t="s">
        <v>3428</v>
      </c>
      <c r="H255" s="45" t="s">
        <v>504</v>
      </c>
      <c r="I255" s="47" t="s">
        <v>505</v>
      </c>
      <c r="J255" s="47"/>
      <c r="K255" s="207">
        <v>0</v>
      </c>
      <c r="L255" s="207">
        <v>0</v>
      </c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</row>
    <row r="256" spans="1:192" ht="25.5">
      <c r="A256" s="896">
        <v>720</v>
      </c>
      <c r="B256" s="244">
        <v>200</v>
      </c>
      <c r="C256" s="244">
        <v>200</v>
      </c>
      <c r="D256" s="244">
        <v>200</v>
      </c>
      <c r="E256" s="244">
        <v>40</v>
      </c>
      <c r="F256" s="246">
        <v>0</v>
      </c>
      <c r="G256" s="378" t="s">
        <v>3429</v>
      </c>
      <c r="H256" s="45" t="s">
        <v>506</v>
      </c>
      <c r="I256" s="47" t="s">
        <v>507</v>
      </c>
      <c r="J256" s="47"/>
      <c r="K256" s="207">
        <v>0</v>
      </c>
      <c r="L256" s="207">
        <v>0</v>
      </c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</row>
    <row r="257" spans="1:192" ht="25.5">
      <c r="A257" s="896">
        <v>720</v>
      </c>
      <c r="B257" s="244">
        <v>200</v>
      </c>
      <c r="C257" s="244">
        <v>200</v>
      </c>
      <c r="D257" s="244">
        <v>200</v>
      </c>
      <c r="E257" s="244">
        <v>50</v>
      </c>
      <c r="F257" s="246">
        <v>0</v>
      </c>
      <c r="G257" s="378" t="s">
        <v>3430</v>
      </c>
      <c r="H257" s="45" t="s">
        <v>508</v>
      </c>
      <c r="I257" s="47" t="s">
        <v>509</v>
      </c>
      <c r="J257" s="47"/>
      <c r="K257" s="207">
        <v>0</v>
      </c>
      <c r="L257" s="207">
        <v>0</v>
      </c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</row>
    <row r="258" spans="1:192" ht="25.5">
      <c r="A258" s="896">
        <v>720</v>
      </c>
      <c r="B258" s="244">
        <v>200</v>
      </c>
      <c r="C258" s="244">
        <v>200</v>
      </c>
      <c r="D258" s="244">
        <v>200</v>
      </c>
      <c r="E258" s="244">
        <v>60</v>
      </c>
      <c r="F258" s="246">
        <v>0</v>
      </c>
      <c r="G258" s="378" t="s">
        <v>3431</v>
      </c>
      <c r="H258" s="45" t="s">
        <v>510</v>
      </c>
      <c r="I258" s="47" t="s">
        <v>511</v>
      </c>
      <c r="J258" s="47"/>
      <c r="K258" s="207">
        <v>862.89</v>
      </c>
      <c r="L258" s="207">
        <v>0</v>
      </c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</row>
    <row r="259" spans="1:192">
      <c r="A259" s="896">
        <v>720</v>
      </c>
      <c r="B259" s="244">
        <v>200</v>
      </c>
      <c r="C259" s="244">
        <v>200</v>
      </c>
      <c r="D259" s="244">
        <v>200</v>
      </c>
      <c r="E259" s="244">
        <v>90</v>
      </c>
      <c r="F259" s="246">
        <v>0</v>
      </c>
      <c r="G259" s="378" t="s">
        <v>3432</v>
      </c>
      <c r="H259" s="45" t="s">
        <v>512</v>
      </c>
      <c r="I259" s="47" t="s">
        <v>513</v>
      </c>
      <c r="J259" s="47"/>
      <c r="K259" s="207">
        <v>111633.81</v>
      </c>
      <c r="L259" s="207">
        <v>521436.18</v>
      </c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</row>
    <row r="260" spans="1:192">
      <c r="A260" s="896">
        <v>720</v>
      </c>
      <c r="B260" s="244">
        <v>200</v>
      </c>
      <c r="C260" s="244">
        <v>300</v>
      </c>
      <c r="D260" s="244">
        <v>0</v>
      </c>
      <c r="E260" s="244">
        <v>0</v>
      </c>
      <c r="F260" s="246">
        <v>0</v>
      </c>
      <c r="G260" s="380" t="s">
        <v>3433</v>
      </c>
      <c r="H260" s="43" t="s">
        <v>514</v>
      </c>
      <c r="I260" s="47"/>
      <c r="J260" s="47"/>
      <c r="K260" s="208">
        <v>0</v>
      </c>
      <c r="L260" s="208">
        <v>0</v>
      </c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</row>
    <row r="261" spans="1:192" ht="25.5">
      <c r="A261" s="896">
        <v>720</v>
      </c>
      <c r="B261" s="244">
        <v>200</v>
      </c>
      <c r="C261" s="244">
        <v>300</v>
      </c>
      <c r="D261" s="244">
        <v>100</v>
      </c>
      <c r="E261" s="244">
        <v>0</v>
      </c>
      <c r="F261" s="244">
        <v>0</v>
      </c>
      <c r="G261" s="378" t="s">
        <v>3434</v>
      </c>
      <c r="H261" s="45" t="s">
        <v>515</v>
      </c>
      <c r="I261" s="47" t="s">
        <v>516</v>
      </c>
      <c r="J261" s="47" t="s">
        <v>1522</v>
      </c>
      <c r="K261" s="207">
        <v>130.63999999999999</v>
      </c>
      <c r="L261" s="207">
        <v>1633.88</v>
      </c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</row>
    <row r="262" spans="1:192">
      <c r="A262" s="896">
        <v>720</v>
      </c>
      <c r="B262" s="244">
        <v>200</v>
      </c>
      <c r="C262" s="244">
        <v>300</v>
      </c>
      <c r="D262" s="244">
        <v>200</v>
      </c>
      <c r="E262" s="244">
        <v>0</v>
      </c>
      <c r="F262" s="244">
        <v>0</v>
      </c>
      <c r="G262" s="380" t="s">
        <v>3435</v>
      </c>
      <c r="H262" s="43" t="s">
        <v>517</v>
      </c>
      <c r="I262" s="47"/>
      <c r="J262" s="47"/>
      <c r="K262" s="208">
        <v>0</v>
      </c>
      <c r="L262" s="208">
        <v>0</v>
      </c>
    </row>
    <row r="263" spans="1:192" ht="25.5">
      <c r="A263" s="896">
        <v>720</v>
      </c>
      <c r="B263" s="244">
        <v>200</v>
      </c>
      <c r="C263" s="244">
        <v>300</v>
      </c>
      <c r="D263" s="244">
        <v>200</v>
      </c>
      <c r="E263" s="244">
        <v>10</v>
      </c>
      <c r="F263" s="244">
        <v>0</v>
      </c>
      <c r="G263" s="378" t="s">
        <v>3436</v>
      </c>
      <c r="H263" s="45" t="s">
        <v>518</v>
      </c>
      <c r="I263" s="47" t="s">
        <v>519</v>
      </c>
      <c r="J263" s="47" t="s">
        <v>1567</v>
      </c>
      <c r="K263" s="207">
        <v>407107.62</v>
      </c>
      <c r="L263" s="207">
        <v>0</v>
      </c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</row>
    <row r="264" spans="1:192">
      <c r="A264" s="896">
        <v>720</v>
      </c>
      <c r="B264" s="244">
        <v>200</v>
      </c>
      <c r="C264" s="244">
        <v>300</v>
      </c>
      <c r="D264" s="244">
        <v>200</v>
      </c>
      <c r="E264" s="244">
        <v>20</v>
      </c>
      <c r="F264" s="244">
        <v>0</v>
      </c>
      <c r="G264" s="378" t="s">
        <v>3437</v>
      </c>
      <c r="H264" s="45" t="s">
        <v>520</v>
      </c>
      <c r="I264" s="47" t="s">
        <v>521</v>
      </c>
      <c r="J264" s="47"/>
      <c r="K264" s="207">
        <v>35878.17</v>
      </c>
      <c r="L264" s="207">
        <v>21145.55</v>
      </c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</row>
    <row r="265" spans="1:192" ht="25.5">
      <c r="A265" s="896">
        <v>720</v>
      </c>
      <c r="B265" s="244">
        <v>200</v>
      </c>
      <c r="C265" s="244">
        <v>300</v>
      </c>
      <c r="D265" s="244">
        <v>200</v>
      </c>
      <c r="E265" s="244">
        <v>30</v>
      </c>
      <c r="F265" s="244">
        <v>0</v>
      </c>
      <c r="G265" s="378" t="s">
        <v>3438</v>
      </c>
      <c r="H265" s="45" t="s">
        <v>522</v>
      </c>
      <c r="I265" s="47" t="s">
        <v>523</v>
      </c>
      <c r="J265" s="47"/>
      <c r="K265" s="207">
        <v>0</v>
      </c>
      <c r="L265" s="207">
        <v>0</v>
      </c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</row>
    <row r="266" spans="1:192" ht="25.5">
      <c r="A266" s="896">
        <v>720</v>
      </c>
      <c r="B266" s="244">
        <v>200</v>
      </c>
      <c r="C266" s="244">
        <v>300</v>
      </c>
      <c r="D266" s="244">
        <v>200</v>
      </c>
      <c r="E266" s="244">
        <v>40</v>
      </c>
      <c r="F266" s="244">
        <v>0</v>
      </c>
      <c r="G266" s="378" t="s">
        <v>3439</v>
      </c>
      <c r="H266" s="45" t="s">
        <v>524</v>
      </c>
      <c r="I266" s="47" t="s">
        <v>525</v>
      </c>
      <c r="J266" s="47"/>
      <c r="K266" s="207">
        <v>0</v>
      </c>
      <c r="L266" s="207">
        <v>0</v>
      </c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</row>
    <row r="267" spans="1:192" ht="25.5">
      <c r="A267" s="896">
        <v>720</v>
      </c>
      <c r="B267" s="244">
        <v>200</v>
      </c>
      <c r="C267" s="244">
        <v>300</v>
      </c>
      <c r="D267" s="244">
        <v>200</v>
      </c>
      <c r="E267" s="244">
        <v>50</v>
      </c>
      <c r="F267" s="244">
        <v>0</v>
      </c>
      <c r="G267" s="378" t="s">
        <v>3440</v>
      </c>
      <c r="H267" s="45" t="s">
        <v>526</v>
      </c>
      <c r="I267" s="47" t="s">
        <v>527</v>
      </c>
      <c r="J267" s="47"/>
      <c r="K267" s="207">
        <v>0</v>
      </c>
      <c r="L267" s="207">
        <v>0</v>
      </c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</row>
    <row r="268" spans="1:192" ht="25.5">
      <c r="A268" s="896">
        <v>720</v>
      </c>
      <c r="B268" s="244">
        <v>200</v>
      </c>
      <c r="C268" s="244">
        <v>300</v>
      </c>
      <c r="D268" s="244">
        <v>200</v>
      </c>
      <c r="E268" s="244">
        <v>60</v>
      </c>
      <c r="F268" s="244">
        <v>0</v>
      </c>
      <c r="G268" s="378" t="s">
        <v>3441</v>
      </c>
      <c r="H268" s="45" t="s">
        <v>528</v>
      </c>
      <c r="I268" s="47" t="s">
        <v>529</v>
      </c>
      <c r="J268" s="47"/>
      <c r="K268" s="207">
        <v>5526.09</v>
      </c>
      <c r="L268" s="207">
        <v>0</v>
      </c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</row>
    <row r="269" spans="1:192">
      <c r="A269" s="896">
        <v>720</v>
      </c>
      <c r="B269" s="244">
        <v>200</v>
      </c>
      <c r="C269" s="244">
        <v>300</v>
      </c>
      <c r="D269" s="244">
        <v>200</v>
      </c>
      <c r="E269" s="244">
        <v>90</v>
      </c>
      <c r="F269" s="244">
        <v>0</v>
      </c>
      <c r="G269" s="378" t="s">
        <v>3442</v>
      </c>
      <c r="H269" s="45" t="s">
        <v>530</v>
      </c>
      <c r="I269" s="47" t="s">
        <v>531</v>
      </c>
      <c r="J269" s="47"/>
      <c r="K269" s="207">
        <v>58890.45</v>
      </c>
      <c r="L269" s="207">
        <v>38532.81</v>
      </c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</row>
    <row r="270" spans="1:192" ht="13.5" thickBot="1">
      <c r="A270" s="899">
        <v>720</v>
      </c>
      <c r="B270" s="252">
        <v>200</v>
      </c>
      <c r="C270" s="252">
        <v>400</v>
      </c>
      <c r="D270" s="252">
        <v>0</v>
      </c>
      <c r="E270" s="252">
        <v>0</v>
      </c>
      <c r="F270" s="252">
        <v>0</v>
      </c>
      <c r="G270" s="385" t="s">
        <v>3443</v>
      </c>
      <c r="H270" s="51" t="s">
        <v>488</v>
      </c>
      <c r="I270" s="52" t="s">
        <v>532</v>
      </c>
      <c r="J270" s="52"/>
      <c r="K270" s="212">
        <v>20.67</v>
      </c>
      <c r="L270" s="212">
        <v>20.63</v>
      </c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</row>
    <row r="271" spans="1:192">
      <c r="A271" s="900"/>
      <c r="B271" s="900"/>
      <c r="C271" s="900"/>
      <c r="D271" s="900"/>
      <c r="E271" s="900"/>
      <c r="F271" s="900"/>
      <c r="G271" s="158"/>
      <c r="H271" s="46" t="s">
        <v>533</v>
      </c>
      <c r="I271" s="53"/>
      <c r="J271" s="53"/>
      <c r="K271" s="386">
        <f>SUM(K5:K270)</f>
        <v>96265274.659999982</v>
      </c>
      <c r="L271" s="386">
        <f>SUM(L5:L270)</f>
        <v>96124066.219999954</v>
      </c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</row>
    <row r="272" spans="1:192">
      <c r="A272" s="900"/>
      <c r="B272" s="900"/>
      <c r="C272" s="900"/>
      <c r="D272" s="900"/>
      <c r="E272" s="900"/>
      <c r="F272" s="900"/>
      <c r="G272" s="158"/>
      <c r="H272" s="46" t="s">
        <v>534</v>
      </c>
      <c r="I272" s="53"/>
      <c r="J272" s="53"/>
      <c r="K272" s="386">
        <f>+'Alimentazione CE Costi'!K974</f>
        <v>96118159.160000041</v>
      </c>
      <c r="L272" s="386">
        <f>+'Alimentazione CE Costi'!L974</f>
        <v>96111651.050000027</v>
      </c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</row>
    <row r="273" spans="1:192">
      <c r="A273" s="900"/>
      <c r="B273" s="900"/>
      <c r="C273" s="900"/>
      <c r="D273" s="900"/>
      <c r="E273" s="900"/>
      <c r="F273" s="900"/>
      <c r="G273" s="158"/>
      <c r="H273" s="46" t="s">
        <v>535</v>
      </c>
      <c r="I273" s="53"/>
      <c r="J273" s="53"/>
      <c r="K273" s="386">
        <f>+K271-K272</f>
        <v>147115.4999999404</v>
      </c>
      <c r="L273" s="386">
        <f t="shared" ref="L273" si="0">+L271-L272</f>
        <v>12415.169999927282</v>
      </c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</row>
    <row r="274" spans="1:192">
      <c r="A274" s="900"/>
      <c r="B274" s="900"/>
      <c r="C274" s="900"/>
      <c r="D274" s="900"/>
      <c r="E274" s="900"/>
      <c r="F274" s="900"/>
      <c r="G274" s="158"/>
      <c r="H274" s="46"/>
      <c r="I274" s="53"/>
      <c r="J274" s="53"/>
      <c r="K274" s="171"/>
      <c r="L274" s="171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</row>
    <row r="275" spans="1:192">
      <c r="A275" s="900"/>
      <c r="B275" s="900"/>
      <c r="C275" s="900"/>
      <c r="D275" s="900"/>
      <c r="E275" s="900"/>
      <c r="F275" s="900"/>
      <c r="G275" s="158"/>
      <c r="H275" s="46"/>
      <c r="I275" s="53"/>
      <c r="J275" s="53"/>
      <c r="K275" s="213"/>
      <c r="L275" s="213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</row>
    <row r="276" spans="1:192">
      <c r="A276" s="900"/>
      <c r="B276" s="900"/>
      <c r="C276" s="900"/>
      <c r="D276" s="900"/>
      <c r="E276" s="900"/>
      <c r="F276" s="900"/>
      <c r="G276" s="158"/>
      <c r="H276" s="46"/>
      <c r="I276" s="53"/>
      <c r="J276" s="53"/>
      <c r="K276" s="213"/>
      <c r="L276" s="213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</row>
    <row r="277" spans="1:192">
      <c r="A277" s="900"/>
      <c r="B277" s="900"/>
      <c r="C277" s="900"/>
      <c r="D277" s="900"/>
      <c r="E277" s="900"/>
      <c r="F277" s="900"/>
      <c r="G277" s="158"/>
      <c r="H277" s="46"/>
      <c r="I277" s="53"/>
      <c r="J277" s="53"/>
      <c r="K277" s="213"/>
      <c r="L277" s="213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</row>
    <row r="278" spans="1:192">
      <c r="A278" s="900"/>
      <c r="B278" s="900"/>
      <c r="C278" s="900"/>
      <c r="D278" s="900"/>
      <c r="E278" s="900"/>
      <c r="F278" s="900"/>
      <c r="G278" s="158"/>
      <c r="H278" s="46"/>
      <c r="I278" s="53"/>
      <c r="J278" s="53"/>
      <c r="K278" s="213"/>
      <c r="L278" s="213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</row>
    <row r="279" spans="1:192">
      <c r="A279" s="900"/>
      <c r="B279" s="900"/>
      <c r="C279" s="900"/>
      <c r="D279" s="900"/>
      <c r="E279" s="900"/>
      <c r="F279" s="900"/>
      <c r="G279" s="158"/>
      <c r="H279" s="46"/>
      <c r="I279" s="53"/>
      <c r="J279" s="53"/>
      <c r="K279" s="213"/>
      <c r="L279" s="213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</row>
    <row r="280" spans="1:192">
      <c r="A280" s="900"/>
      <c r="B280" s="900"/>
      <c r="C280" s="900"/>
      <c r="D280" s="900"/>
      <c r="E280" s="900"/>
      <c r="F280" s="900"/>
      <c r="G280" s="158"/>
      <c r="H280" s="46"/>
      <c r="I280" s="53"/>
      <c r="J280" s="53"/>
      <c r="K280" s="213"/>
      <c r="L280" s="213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</row>
    <row r="281" spans="1:192">
      <c r="A281" s="900"/>
      <c r="B281" s="900"/>
      <c r="C281" s="900"/>
      <c r="D281" s="900"/>
      <c r="E281" s="900"/>
      <c r="F281" s="900"/>
      <c r="G281" s="158"/>
      <c r="H281" s="46"/>
      <c r="I281" s="53"/>
      <c r="J281" s="53"/>
      <c r="K281" s="213"/>
      <c r="L281" s="213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</row>
    <row r="282" spans="1:192">
      <c r="A282" s="900"/>
      <c r="B282" s="900"/>
      <c r="C282" s="900"/>
      <c r="D282" s="900"/>
      <c r="E282" s="900"/>
      <c r="F282" s="900"/>
      <c r="G282" s="158"/>
      <c r="H282" s="46"/>
      <c r="I282" s="53"/>
      <c r="J282" s="53"/>
      <c r="K282" s="213"/>
      <c r="L282" s="213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</row>
    <row r="283" spans="1:192">
      <c r="A283" s="900"/>
      <c r="B283" s="900"/>
      <c r="C283" s="900"/>
      <c r="D283" s="900"/>
      <c r="E283" s="900"/>
      <c r="F283" s="900"/>
      <c r="G283" s="158"/>
      <c r="H283" s="46"/>
      <c r="I283" s="53"/>
      <c r="J283" s="53"/>
      <c r="K283" s="213"/>
      <c r="L283" s="213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</row>
    <row r="284" spans="1:192">
      <c r="A284" s="900"/>
      <c r="B284" s="900"/>
      <c r="C284" s="900"/>
      <c r="D284" s="900"/>
      <c r="E284" s="900"/>
      <c r="F284" s="900"/>
      <c r="G284" s="158"/>
      <c r="H284" s="46"/>
      <c r="I284" s="53"/>
      <c r="J284" s="53"/>
      <c r="K284" s="213"/>
      <c r="L284" s="213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</row>
    <row r="285" spans="1:192">
      <c r="A285" s="900"/>
      <c r="B285" s="900"/>
      <c r="C285" s="900"/>
      <c r="D285" s="900"/>
      <c r="E285" s="900"/>
      <c r="F285" s="900"/>
      <c r="G285" s="158"/>
      <c r="H285" s="46"/>
      <c r="I285" s="53"/>
      <c r="J285" s="53"/>
      <c r="K285" s="213"/>
      <c r="L285" s="213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</row>
    <row r="286" spans="1:192">
      <c r="A286" s="900"/>
      <c r="B286" s="900"/>
      <c r="C286" s="900"/>
      <c r="D286" s="900"/>
      <c r="E286" s="900"/>
      <c r="F286" s="900"/>
      <c r="G286" s="158"/>
      <c r="H286" s="46"/>
      <c r="I286" s="53"/>
      <c r="J286" s="53"/>
      <c r="K286" s="213"/>
      <c r="L286" s="213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</row>
    <row r="287" spans="1:192">
      <c r="A287" s="900"/>
      <c r="B287" s="900"/>
      <c r="C287" s="900"/>
      <c r="D287" s="900"/>
      <c r="E287" s="900"/>
      <c r="F287" s="900"/>
      <c r="G287" s="158"/>
      <c r="H287" s="46"/>
      <c r="I287" s="53"/>
      <c r="J287" s="53"/>
      <c r="K287" s="213"/>
      <c r="L287" s="213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</row>
    <row r="288" spans="1:192">
      <c r="A288" s="900"/>
      <c r="B288" s="900"/>
      <c r="C288" s="900"/>
      <c r="D288" s="900"/>
      <c r="E288" s="900"/>
      <c r="F288" s="900"/>
      <c r="G288" s="158"/>
      <c r="H288" s="46"/>
      <c r="I288" s="53"/>
      <c r="J288" s="53"/>
      <c r="K288" s="213"/>
      <c r="L288" s="213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</row>
    <row r="289" spans="1:192">
      <c r="A289" s="900"/>
      <c r="B289" s="900"/>
      <c r="C289" s="900"/>
      <c r="D289" s="900"/>
      <c r="E289" s="900"/>
      <c r="F289" s="900"/>
      <c r="G289" s="158"/>
      <c r="H289" s="46"/>
      <c r="I289" s="53"/>
      <c r="J289" s="53"/>
      <c r="K289" s="213"/>
      <c r="L289" s="213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</row>
    <row r="290" spans="1:192">
      <c r="A290" s="900"/>
      <c r="B290" s="900"/>
      <c r="C290" s="900"/>
      <c r="D290" s="900"/>
      <c r="E290" s="900"/>
      <c r="F290" s="900"/>
      <c r="G290" s="158"/>
      <c r="H290" s="46"/>
      <c r="I290" s="53"/>
      <c r="J290" s="53"/>
      <c r="K290" s="213"/>
      <c r="L290" s="213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</row>
    <row r="291" spans="1:192">
      <c r="A291" s="900"/>
      <c r="B291" s="900"/>
      <c r="C291" s="900"/>
      <c r="D291" s="900"/>
      <c r="E291" s="900"/>
      <c r="F291" s="900"/>
      <c r="G291" s="158"/>
      <c r="H291" s="46"/>
      <c r="I291" s="53"/>
      <c r="J291" s="53"/>
      <c r="K291" s="213"/>
      <c r="L291" s="213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</row>
    <row r="292" spans="1:192">
      <c r="A292" s="900"/>
      <c r="B292" s="900"/>
      <c r="C292" s="900"/>
      <c r="D292" s="900"/>
      <c r="E292" s="900"/>
      <c r="F292" s="900"/>
      <c r="G292" s="158"/>
      <c r="H292" s="46"/>
      <c r="I292" s="53"/>
      <c r="J292" s="53"/>
      <c r="K292" s="213"/>
      <c r="L292" s="213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</row>
    <row r="293" spans="1:192">
      <c r="A293" s="900"/>
      <c r="B293" s="900"/>
      <c r="C293" s="900"/>
      <c r="D293" s="900"/>
      <c r="E293" s="900"/>
      <c r="F293" s="900"/>
      <c r="G293" s="158"/>
      <c r="H293" s="46"/>
      <c r="I293" s="53"/>
      <c r="J293" s="53"/>
      <c r="K293" s="213"/>
      <c r="L293" s="213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</row>
    <row r="294" spans="1:192">
      <c r="A294" s="900"/>
      <c r="B294" s="900"/>
      <c r="C294" s="900"/>
      <c r="D294" s="900"/>
      <c r="E294" s="900"/>
      <c r="F294" s="900"/>
      <c r="G294" s="158"/>
      <c r="H294" s="46"/>
      <c r="I294" s="53"/>
      <c r="J294" s="53"/>
      <c r="K294" s="213"/>
      <c r="L294" s="213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</row>
    <row r="295" spans="1:192">
      <c r="A295" s="900"/>
      <c r="B295" s="900"/>
      <c r="C295" s="900"/>
      <c r="D295" s="900"/>
      <c r="E295" s="900"/>
      <c r="F295" s="900"/>
      <c r="G295" s="158"/>
      <c r="H295" s="46"/>
      <c r="I295" s="53"/>
      <c r="J295" s="53"/>
      <c r="K295" s="213"/>
      <c r="L295" s="213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</row>
    <row r="296" spans="1:192">
      <c r="A296" s="900"/>
      <c r="B296" s="900"/>
      <c r="C296" s="900"/>
      <c r="D296" s="900"/>
      <c r="E296" s="900"/>
      <c r="F296" s="900"/>
      <c r="G296" s="158"/>
      <c r="H296" s="46"/>
      <c r="I296" s="53"/>
      <c r="J296" s="53"/>
      <c r="K296" s="213"/>
      <c r="L296" s="213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</row>
    <row r="297" spans="1:192">
      <c r="A297" s="900"/>
      <c r="B297" s="900"/>
      <c r="C297" s="900"/>
      <c r="D297" s="900"/>
      <c r="E297" s="900"/>
      <c r="F297" s="900"/>
      <c r="G297" s="158"/>
      <c r="H297" s="46"/>
      <c r="I297" s="53"/>
      <c r="J297" s="53"/>
      <c r="K297" s="213"/>
      <c r="L297" s="213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</row>
    <row r="298" spans="1:192">
      <c r="A298" s="900"/>
      <c r="B298" s="900"/>
      <c r="C298" s="900"/>
      <c r="D298" s="900"/>
      <c r="E298" s="900"/>
      <c r="F298" s="900"/>
      <c r="G298" s="158"/>
      <c r="H298" s="46"/>
      <c r="I298" s="53"/>
      <c r="J298" s="53"/>
      <c r="K298" s="213"/>
      <c r="L298" s="213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</row>
    <row r="299" spans="1:192">
      <c r="A299" s="900"/>
      <c r="B299" s="900"/>
      <c r="C299" s="900"/>
      <c r="D299" s="900"/>
      <c r="E299" s="900"/>
      <c r="F299" s="900"/>
      <c r="G299" s="158"/>
      <c r="H299" s="46"/>
      <c r="I299" s="53"/>
      <c r="J299" s="53"/>
      <c r="K299" s="213"/>
      <c r="L299" s="213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</row>
    <row r="300" spans="1:192">
      <c r="A300" s="900"/>
      <c r="B300" s="900"/>
      <c r="C300" s="900"/>
      <c r="D300" s="900"/>
      <c r="E300" s="900"/>
      <c r="F300" s="900"/>
      <c r="G300" s="158"/>
      <c r="H300" s="46"/>
      <c r="I300" s="53"/>
      <c r="J300" s="53"/>
      <c r="K300" s="213"/>
      <c r="L300" s="213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</row>
    <row r="301" spans="1:192">
      <c r="A301" s="900"/>
      <c r="B301" s="900"/>
      <c r="C301" s="900"/>
      <c r="D301" s="900"/>
      <c r="E301" s="900"/>
      <c r="F301" s="900"/>
      <c r="G301" s="158"/>
      <c r="H301" s="46"/>
      <c r="I301" s="53"/>
      <c r="J301" s="53"/>
      <c r="K301" s="213"/>
      <c r="L301" s="213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</row>
    <row r="302" spans="1:192">
      <c r="A302" s="900"/>
      <c r="B302" s="900"/>
      <c r="C302" s="900"/>
      <c r="D302" s="900"/>
      <c r="E302" s="900"/>
      <c r="F302" s="900"/>
      <c r="G302" s="158"/>
      <c r="H302" s="46"/>
      <c r="I302" s="53"/>
      <c r="J302" s="53"/>
      <c r="K302" s="213"/>
      <c r="L302" s="213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</row>
    <row r="303" spans="1:192">
      <c r="A303" s="900"/>
      <c r="B303" s="900"/>
      <c r="C303" s="900"/>
      <c r="D303" s="900"/>
      <c r="E303" s="900"/>
      <c r="F303" s="900"/>
      <c r="G303" s="158"/>
      <c r="H303" s="46"/>
      <c r="I303" s="53"/>
      <c r="J303" s="53"/>
      <c r="K303" s="213"/>
      <c r="L303" s="213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</row>
    <row r="304" spans="1:192">
      <c r="A304" s="900"/>
      <c r="B304" s="900"/>
      <c r="C304" s="900"/>
      <c r="D304" s="900"/>
      <c r="E304" s="900"/>
      <c r="F304" s="900"/>
      <c r="G304" s="158"/>
      <c r="H304" s="46"/>
      <c r="I304" s="53"/>
      <c r="J304" s="53"/>
      <c r="K304" s="213"/>
      <c r="L304" s="213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</row>
    <row r="305" spans="1:192">
      <c r="A305" s="900"/>
      <c r="B305" s="900"/>
      <c r="C305" s="900"/>
      <c r="D305" s="900"/>
      <c r="E305" s="900"/>
      <c r="F305" s="900"/>
      <c r="G305" s="158"/>
      <c r="H305" s="46"/>
      <c r="I305" s="53"/>
      <c r="J305" s="53"/>
      <c r="K305" s="213"/>
      <c r="L305" s="213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</row>
    <row r="306" spans="1:192">
      <c r="A306" s="900"/>
      <c r="B306" s="900"/>
      <c r="C306" s="900"/>
      <c r="D306" s="900"/>
      <c r="E306" s="900"/>
      <c r="F306" s="900"/>
      <c r="G306" s="158"/>
      <c r="H306" s="46"/>
      <c r="I306" s="53"/>
      <c r="J306" s="53"/>
      <c r="K306" s="213"/>
      <c r="L306" s="213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</row>
    <row r="307" spans="1:192">
      <c r="A307" s="900"/>
      <c r="B307" s="900"/>
      <c r="C307" s="900"/>
      <c r="D307" s="900"/>
      <c r="E307" s="900"/>
      <c r="F307" s="900"/>
      <c r="G307" s="158"/>
      <c r="H307" s="46"/>
      <c r="I307" s="53"/>
      <c r="J307" s="53"/>
      <c r="K307" s="213"/>
      <c r="L307" s="213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</row>
    <row r="308" spans="1:192">
      <c r="A308" s="900"/>
      <c r="B308" s="900"/>
      <c r="C308" s="900"/>
      <c r="D308" s="900"/>
      <c r="E308" s="900"/>
      <c r="F308" s="900"/>
      <c r="G308" s="158"/>
      <c r="H308" s="46"/>
      <c r="I308" s="53"/>
      <c r="J308" s="53"/>
      <c r="K308" s="213"/>
      <c r="L308" s="213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</row>
    <row r="309" spans="1:192">
      <c r="A309" s="900"/>
      <c r="B309" s="900"/>
      <c r="C309" s="900"/>
      <c r="D309" s="900"/>
      <c r="E309" s="900"/>
      <c r="F309" s="900"/>
      <c r="G309" s="158"/>
      <c r="H309" s="46"/>
      <c r="I309" s="53"/>
      <c r="J309" s="53"/>
      <c r="K309" s="213"/>
      <c r="L309" s="213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</row>
    <row r="310" spans="1:192">
      <c r="A310" s="900"/>
      <c r="B310" s="900"/>
      <c r="C310" s="900"/>
      <c r="D310" s="900"/>
      <c r="E310" s="900"/>
      <c r="F310" s="900"/>
      <c r="G310" s="158"/>
      <c r="H310" s="46"/>
      <c r="I310" s="53"/>
      <c r="J310" s="53"/>
      <c r="K310" s="213"/>
      <c r="L310" s="213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</row>
    <row r="311" spans="1:192">
      <c r="A311" s="900"/>
      <c r="B311" s="900"/>
      <c r="C311" s="900"/>
      <c r="D311" s="900"/>
      <c r="E311" s="900"/>
      <c r="F311" s="900"/>
      <c r="G311" s="158"/>
      <c r="H311" s="46"/>
      <c r="I311" s="53"/>
      <c r="J311" s="53"/>
      <c r="K311" s="171"/>
      <c r="L311" s="171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</row>
    <row r="312" spans="1:192">
      <c r="A312" s="900"/>
      <c r="B312" s="900"/>
      <c r="C312" s="900"/>
      <c r="D312" s="900"/>
      <c r="E312" s="900"/>
      <c r="F312" s="900"/>
      <c r="G312" s="158"/>
      <c r="H312" s="46"/>
      <c r="I312" s="53"/>
      <c r="J312" s="53"/>
      <c r="K312" s="171"/>
      <c r="L312" s="171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</row>
    <row r="313" spans="1:192">
      <c r="A313" s="900"/>
      <c r="B313" s="900"/>
      <c r="C313" s="900"/>
      <c r="D313" s="900"/>
      <c r="E313" s="900"/>
      <c r="F313" s="900"/>
      <c r="G313" s="158"/>
      <c r="H313" s="46"/>
      <c r="I313" s="53"/>
      <c r="J313" s="53"/>
      <c r="K313" s="171"/>
      <c r="L313" s="171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</row>
    <row r="314" spans="1:192">
      <c r="A314" s="900"/>
      <c r="B314" s="900"/>
      <c r="C314" s="900"/>
      <c r="D314" s="900"/>
      <c r="E314" s="900"/>
      <c r="F314" s="900"/>
      <c r="G314" s="158"/>
      <c r="H314" s="46"/>
      <c r="I314" s="53"/>
      <c r="J314" s="53"/>
      <c r="K314" s="171"/>
      <c r="L314" s="171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</row>
    <row r="315" spans="1:192">
      <c r="A315" s="900"/>
      <c r="B315" s="900"/>
      <c r="C315" s="900"/>
      <c r="D315" s="900"/>
      <c r="E315" s="900"/>
      <c r="F315" s="900"/>
      <c r="G315" s="158"/>
      <c r="H315" s="46"/>
      <c r="I315" s="53"/>
      <c r="J315" s="53"/>
      <c r="K315" s="171"/>
      <c r="L315" s="171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</row>
    <row r="316" spans="1:192">
      <c r="A316" s="900"/>
      <c r="B316" s="900"/>
      <c r="C316" s="900"/>
      <c r="D316" s="900"/>
      <c r="E316" s="900"/>
      <c r="F316" s="900"/>
      <c r="G316" s="158"/>
      <c r="H316" s="46"/>
      <c r="I316" s="53"/>
      <c r="J316" s="53"/>
      <c r="K316" s="171"/>
      <c r="L316" s="171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</row>
    <row r="317" spans="1:192">
      <c r="A317" s="900"/>
      <c r="B317" s="900"/>
      <c r="C317" s="900"/>
      <c r="D317" s="900"/>
      <c r="E317" s="900"/>
      <c r="F317" s="900"/>
      <c r="G317" s="158"/>
      <c r="H317" s="46"/>
      <c r="I317" s="53"/>
      <c r="J317" s="53"/>
      <c r="K317" s="171"/>
      <c r="L317" s="171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</row>
    <row r="318" spans="1:192">
      <c r="A318" s="900"/>
      <c r="B318" s="900"/>
      <c r="C318" s="900"/>
      <c r="D318" s="900"/>
      <c r="E318" s="900"/>
      <c r="F318" s="900"/>
      <c r="G318" s="158"/>
      <c r="H318" s="46"/>
      <c r="I318" s="53"/>
      <c r="J318" s="53"/>
      <c r="K318" s="171"/>
      <c r="L318" s="171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</row>
    <row r="319" spans="1:192">
      <c r="A319" s="900"/>
      <c r="B319" s="900"/>
      <c r="C319" s="900"/>
      <c r="D319" s="900"/>
      <c r="E319" s="900"/>
      <c r="F319" s="900"/>
      <c r="G319" s="158"/>
      <c r="H319" s="46"/>
      <c r="I319" s="53"/>
      <c r="J319" s="53"/>
      <c r="K319" s="171"/>
      <c r="L319" s="171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</row>
    <row r="320" spans="1:192">
      <c r="A320" s="900"/>
      <c r="B320" s="900"/>
      <c r="C320" s="900"/>
      <c r="D320" s="900"/>
      <c r="E320" s="900"/>
      <c r="F320" s="900"/>
      <c r="G320" s="158"/>
      <c r="H320" s="46"/>
      <c r="I320" s="53"/>
      <c r="J320" s="53"/>
      <c r="K320" s="171"/>
      <c r="L320" s="171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</row>
    <row r="321" spans="1:192">
      <c r="A321" s="900"/>
      <c r="B321" s="900"/>
      <c r="C321" s="900"/>
      <c r="D321" s="900"/>
      <c r="E321" s="900"/>
      <c r="F321" s="900"/>
      <c r="G321" s="158"/>
      <c r="H321" s="46"/>
      <c r="I321" s="53"/>
      <c r="J321" s="53"/>
      <c r="K321" s="171"/>
      <c r="L321" s="171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</row>
    <row r="322" spans="1:192">
      <c r="A322" s="900"/>
      <c r="B322" s="900"/>
      <c r="C322" s="900"/>
      <c r="D322" s="900"/>
      <c r="E322" s="900"/>
      <c r="F322" s="900"/>
      <c r="G322" s="158"/>
      <c r="H322" s="46"/>
      <c r="I322" s="53"/>
      <c r="J322" s="53"/>
      <c r="K322" s="171"/>
      <c r="L322" s="171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</row>
    <row r="323" spans="1:192">
      <c r="A323" s="900"/>
      <c r="B323" s="900"/>
      <c r="C323" s="900"/>
      <c r="D323" s="900"/>
      <c r="E323" s="900"/>
      <c r="F323" s="900"/>
      <c r="G323" s="158"/>
      <c r="H323" s="46"/>
      <c r="I323" s="53"/>
      <c r="J323" s="53"/>
      <c r="K323" s="171"/>
      <c r="L323" s="171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</row>
    <row r="324" spans="1:192">
      <c r="A324" s="900"/>
      <c r="B324" s="900"/>
      <c r="C324" s="900"/>
      <c r="D324" s="900"/>
      <c r="E324" s="900"/>
      <c r="F324" s="900"/>
      <c r="G324" s="158"/>
      <c r="H324" s="46"/>
      <c r="I324" s="53"/>
      <c r="J324" s="53"/>
      <c r="K324" s="171"/>
      <c r="L324" s="171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</row>
    <row r="325" spans="1:192">
      <c r="A325" s="900"/>
      <c r="B325" s="900"/>
      <c r="C325" s="900"/>
      <c r="D325" s="900"/>
      <c r="E325" s="900"/>
      <c r="F325" s="900"/>
      <c r="G325" s="158"/>
      <c r="H325" s="46"/>
      <c r="I325" s="53"/>
      <c r="J325" s="53"/>
      <c r="K325" s="171"/>
      <c r="L325" s="171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</row>
    <row r="326" spans="1:192">
      <c r="A326" s="900"/>
      <c r="B326" s="900"/>
      <c r="C326" s="900"/>
      <c r="D326" s="900"/>
      <c r="E326" s="900"/>
      <c r="F326" s="900"/>
      <c r="G326" s="158"/>
      <c r="H326" s="46"/>
      <c r="I326" s="53"/>
      <c r="J326" s="53"/>
      <c r="K326" s="171"/>
      <c r="L326" s="171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</row>
    <row r="327" spans="1:192">
      <c r="A327" s="900"/>
      <c r="B327" s="900"/>
      <c r="C327" s="900"/>
      <c r="D327" s="900"/>
      <c r="E327" s="900"/>
      <c r="F327" s="900"/>
      <c r="G327" s="158"/>
      <c r="H327" s="46"/>
      <c r="I327" s="53"/>
      <c r="J327" s="53"/>
      <c r="K327" s="171"/>
      <c r="L327" s="171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</row>
    <row r="328" spans="1:192">
      <c r="A328" s="900"/>
      <c r="B328" s="900"/>
      <c r="C328" s="900"/>
      <c r="D328" s="900"/>
      <c r="E328" s="900"/>
      <c r="F328" s="900"/>
      <c r="G328" s="158"/>
      <c r="H328" s="46"/>
      <c r="I328" s="53"/>
      <c r="J328" s="53"/>
      <c r="K328" s="171"/>
      <c r="L328" s="171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</row>
    <row r="329" spans="1:192">
      <c r="A329" s="900"/>
      <c r="B329" s="900"/>
      <c r="C329" s="900"/>
      <c r="D329" s="900"/>
      <c r="E329" s="900"/>
      <c r="F329" s="900"/>
      <c r="G329" s="158"/>
      <c r="H329" s="46"/>
      <c r="I329" s="53"/>
      <c r="J329" s="53"/>
      <c r="K329" s="171"/>
      <c r="L329" s="171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</row>
    <row r="330" spans="1:192">
      <c r="A330" s="900"/>
      <c r="B330" s="900"/>
      <c r="C330" s="900"/>
      <c r="D330" s="900"/>
      <c r="E330" s="900"/>
      <c r="F330" s="900"/>
      <c r="G330" s="158"/>
      <c r="H330" s="46"/>
      <c r="I330" s="53"/>
      <c r="J330" s="53"/>
      <c r="K330" s="171"/>
      <c r="L330" s="171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</row>
    <row r="331" spans="1:192">
      <c r="A331" s="900"/>
      <c r="B331" s="900"/>
      <c r="C331" s="900"/>
      <c r="D331" s="900"/>
      <c r="E331" s="900"/>
      <c r="F331" s="900"/>
      <c r="G331" s="158"/>
      <c r="H331" s="46"/>
      <c r="I331" s="53"/>
      <c r="J331" s="53"/>
      <c r="K331" s="171"/>
      <c r="L331" s="171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</row>
    <row r="332" spans="1:192">
      <c r="A332" s="900"/>
      <c r="B332" s="900"/>
      <c r="C332" s="900"/>
      <c r="D332" s="900"/>
      <c r="E332" s="900"/>
      <c r="F332" s="900"/>
      <c r="G332" s="158"/>
      <c r="H332" s="46"/>
      <c r="I332" s="53"/>
      <c r="J332" s="53"/>
      <c r="K332" s="171"/>
      <c r="L332" s="171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</row>
    <row r="333" spans="1:192">
      <c r="A333" s="900"/>
      <c r="B333" s="900"/>
      <c r="C333" s="900"/>
      <c r="D333" s="900"/>
      <c r="E333" s="900"/>
      <c r="F333" s="900"/>
      <c r="G333" s="158"/>
      <c r="H333" s="46"/>
      <c r="I333" s="53"/>
      <c r="J333" s="53"/>
      <c r="K333" s="171"/>
      <c r="L333" s="171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</row>
    <row r="334" spans="1:192">
      <c r="A334" s="900"/>
      <c r="B334" s="900"/>
      <c r="C334" s="900"/>
      <c r="D334" s="900"/>
      <c r="E334" s="900"/>
      <c r="F334" s="900"/>
      <c r="G334" s="158"/>
      <c r="H334" s="46"/>
      <c r="I334" s="53"/>
      <c r="J334" s="53"/>
      <c r="K334" s="171"/>
      <c r="L334" s="171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0"/>
      <c r="CM334" s="40"/>
      <c r="CN334" s="40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</row>
    <row r="335" spans="1:192">
      <c r="A335" s="900"/>
      <c r="B335" s="900"/>
      <c r="C335" s="900"/>
      <c r="D335" s="900"/>
      <c r="E335" s="900"/>
      <c r="F335" s="900"/>
      <c r="G335" s="158"/>
      <c r="H335" s="46"/>
      <c r="I335" s="53"/>
      <c r="J335" s="53"/>
      <c r="K335" s="171"/>
      <c r="L335" s="171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</row>
    <row r="336" spans="1:192">
      <c r="A336" s="900"/>
      <c r="B336" s="900"/>
      <c r="C336" s="900"/>
      <c r="D336" s="900"/>
      <c r="E336" s="900"/>
      <c r="F336" s="900"/>
      <c r="G336" s="158"/>
      <c r="H336" s="46"/>
      <c r="I336" s="53"/>
      <c r="J336" s="53"/>
      <c r="K336" s="171"/>
      <c r="L336" s="171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</row>
    <row r="337" spans="1:192">
      <c r="A337" s="900"/>
      <c r="B337" s="900"/>
      <c r="C337" s="900"/>
      <c r="D337" s="900"/>
      <c r="E337" s="900"/>
      <c r="F337" s="900"/>
      <c r="G337" s="158"/>
      <c r="H337" s="46"/>
      <c r="I337" s="53"/>
      <c r="J337" s="53"/>
      <c r="K337" s="171"/>
      <c r="L337" s="171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</row>
    <row r="338" spans="1:192">
      <c r="A338" s="900"/>
      <c r="B338" s="900"/>
      <c r="C338" s="900"/>
      <c r="D338" s="900"/>
      <c r="E338" s="900"/>
      <c r="F338" s="900"/>
      <c r="G338" s="158"/>
      <c r="H338" s="46"/>
      <c r="I338" s="53"/>
      <c r="J338" s="53"/>
      <c r="K338" s="171"/>
      <c r="L338" s="171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</row>
    <row r="339" spans="1:192">
      <c r="A339" s="900"/>
      <c r="B339" s="900"/>
      <c r="C339" s="900"/>
      <c r="D339" s="900"/>
      <c r="E339" s="900"/>
      <c r="F339" s="900"/>
      <c r="G339" s="158"/>
      <c r="H339" s="46"/>
      <c r="I339" s="53"/>
      <c r="J339" s="53"/>
      <c r="K339" s="171"/>
      <c r="L339" s="171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</row>
    <row r="340" spans="1:192">
      <c r="A340" s="900"/>
      <c r="B340" s="900"/>
      <c r="C340" s="900"/>
      <c r="D340" s="900"/>
      <c r="E340" s="900"/>
      <c r="F340" s="900"/>
      <c r="G340" s="158"/>
      <c r="H340" s="46"/>
      <c r="I340" s="53"/>
      <c r="J340" s="53"/>
      <c r="K340" s="171"/>
      <c r="L340" s="171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</row>
    <row r="341" spans="1:192">
      <c r="A341" s="900"/>
      <c r="B341" s="900"/>
      <c r="C341" s="900"/>
      <c r="D341" s="900"/>
      <c r="E341" s="900"/>
      <c r="F341" s="900"/>
      <c r="G341" s="158"/>
      <c r="H341" s="46"/>
      <c r="I341" s="53"/>
      <c r="J341" s="53"/>
      <c r="K341" s="171"/>
      <c r="L341" s="171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</row>
    <row r="342" spans="1:192">
      <c r="A342" s="900"/>
      <c r="B342" s="900"/>
      <c r="C342" s="900"/>
      <c r="D342" s="900"/>
      <c r="E342" s="900"/>
      <c r="F342" s="900"/>
      <c r="G342" s="158"/>
      <c r="H342" s="46"/>
      <c r="I342" s="53"/>
      <c r="J342" s="53"/>
      <c r="K342" s="171"/>
      <c r="L342" s="171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</row>
    <row r="343" spans="1:192">
      <c r="A343" s="900"/>
      <c r="B343" s="900"/>
      <c r="C343" s="900"/>
      <c r="D343" s="900"/>
      <c r="E343" s="900"/>
      <c r="F343" s="900"/>
      <c r="G343" s="158"/>
      <c r="H343" s="46"/>
      <c r="I343" s="53"/>
      <c r="J343" s="53"/>
      <c r="K343" s="171"/>
      <c r="L343" s="171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</row>
    <row r="344" spans="1:192">
      <c r="A344" s="900"/>
      <c r="B344" s="900"/>
      <c r="C344" s="900"/>
      <c r="D344" s="900"/>
      <c r="E344" s="900"/>
      <c r="F344" s="900"/>
      <c r="G344" s="158"/>
      <c r="H344" s="46"/>
      <c r="I344" s="53"/>
      <c r="J344" s="53"/>
      <c r="K344" s="171"/>
      <c r="L344" s="171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</row>
    <row r="345" spans="1:192">
      <c r="A345" s="900"/>
      <c r="B345" s="900"/>
      <c r="C345" s="900"/>
      <c r="D345" s="900"/>
      <c r="E345" s="900"/>
      <c r="F345" s="900"/>
      <c r="G345" s="158"/>
      <c r="H345" s="46"/>
      <c r="I345" s="53"/>
      <c r="J345" s="53"/>
      <c r="K345" s="171"/>
      <c r="L345" s="171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</row>
    <row r="346" spans="1:192">
      <c r="A346" s="900"/>
      <c r="B346" s="900"/>
      <c r="C346" s="900"/>
      <c r="D346" s="900"/>
      <c r="E346" s="900"/>
      <c r="F346" s="900"/>
      <c r="G346" s="158"/>
      <c r="H346" s="46"/>
      <c r="I346" s="53"/>
      <c r="J346" s="53"/>
      <c r="K346" s="171"/>
      <c r="L346" s="171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</row>
    <row r="347" spans="1:192">
      <c r="A347" s="900"/>
      <c r="B347" s="900"/>
      <c r="C347" s="900"/>
      <c r="D347" s="900"/>
      <c r="E347" s="900"/>
      <c r="F347" s="900"/>
      <c r="G347" s="158"/>
      <c r="H347" s="46"/>
      <c r="I347" s="53"/>
      <c r="J347" s="53"/>
      <c r="K347" s="171"/>
      <c r="L347" s="171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</row>
    <row r="348" spans="1:192">
      <c r="A348" s="900"/>
      <c r="B348" s="900"/>
      <c r="C348" s="900"/>
      <c r="D348" s="900"/>
      <c r="E348" s="900"/>
      <c r="F348" s="900"/>
      <c r="G348" s="158"/>
      <c r="H348" s="46"/>
      <c r="I348" s="53"/>
      <c r="J348" s="53"/>
      <c r="K348" s="171"/>
      <c r="L348" s="171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</row>
    <row r="349" spans="1:192">
      <c r="A349" s="900"/>
      <c r="B349" s="900"/>
      <c r="C349" s="900"/>
      <c r="D349" s="900"/>
      <c r="E349" s="900"/>
      <c r="F349" s="900"/>
      <c r="G349" s="158"/>
      <c r="H349" s="46"/>
      <c r="I349" s="53"/>
      <c r="J349" s="53"/>
      <c r="K349" s="171"/>
      <c r="L349" s="171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</row>
    <row r="350" spans="1:192">
      <c r="A350" s="900"/>
      <c r="B350" s="900"/>
      <c r="C350" s="900"/>
      <c r="D350" s="900"/>
      <c r="E350" s="900"/>
      <c r="F350" s="900"/>
      <c r="G350" s="158"/>
      <c r="H350" s="46"/>
      <c r="I350" s="53"/>
      <c r="J350" s="53"/>
      <c r="K350" s="171"/>
      <c r="L350" s="171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</row>
    <row r="351" spans="1:192">
      <c r="A351" s="900"/>
      <c r="B351" s="900"/>
      <c r="C351" s="900"/>
      <c r="D351" s="900"/>
      <c r="E351" s="900"/>
      <c r="F351" s="900"/>
      <c r="G351" s="158"/>
      <c r="H351" s="46"/>
      <c r="I351" s="53"/>
      <c r="J351" s="53"/>
      <c r="K351" s="171"/>
      <c r="L351" s="171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</row>
    <row r="352" spans="1:192">
      <c r="A352" s="900"/>
      <c r="B352" s="900"/>
      <c r="C352" s="900"/>
      <c r="D352" s="900"/>
      <c r="E352" s="900"/>
      <c r="F352" s="900"/>
      <c r="G352" s="158"/>
      <c r="H352" s="46"/>
      <c r="I352" s="53"/>
      <c r="J352" s="53"/>
      <c r="K352" s="171"/>
      <c r="L352" s="171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</row>
    <row r="353" spans="1:192">
      <c r="A353" s="900"/>
      <c r="B353" s="900"/>
      <c r="C353" s="900"/>
      <c r="D353" s="900"/>
      <c r="E353" s="900"/>
      <c r="F353" s="900"/>
      <c r="G353" s="158"/>
      <c r="H353" s="46"/>
      <c r="I353" s="53"/>
      <c r="J353" s="53"/>
      <c r="K353" s="171"/>
      <c r="L353" s="171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</row>
    <row r="354" spans="1:192">
      <c r="A354" s="900"/>
      <c r="B354" s="900"/>
      <c r="C354" s="900"/>
      <c r="D354" s="900"/>
      <c r="E354" s="900"/>
      <c r="F354" s="900"/>
      <c r="G354" s="158"/>
      <c r="H354" s="46"/>
      <c r="I354" s="53"/>
      <c r="J354" s="53"/>
      <c r="K354" s="171"/>
      <c r="L354" s="171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</row>
    <row r="355" spans="1:192">
      <c r="A355" s="900"/>
      <c r="B355" s="900"/>
      <c r="C355" s="900"/>
      <c r="D355" s="900"/>
      <c r="E355" s="900"/>
      <c r="F355" s="900"/>
      <c r="G355" s="158"/>
      <c r="H355" s="46"/>
      <c r="I355" s="53"/>
      <c r="J355" s="53"/>
      <c r="K355" s="171"/>
      <c r="L355" s="171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/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</row>
    <row r="356" spans="1:192">
      <c r="A356" s="900"/>
      <c r="B356" s="900"/>
      <c r="C356" s="900"/>
      <c r="D356" s="900"/>
      <c r="E356" s="900"/>
      <c r="F356" s="900"/>
      <c r="G356" s="158"/>
      <c r="H356" s="46"/>
      <c r="I356" s="53"/>
      <c r="J356" s="53"/>
      <c r="K356" s="171"/>
      <c r="L356" s="171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</row>
    <row r="357" spans="1:192">
      <c r="A357" s="900"/>
      <c r="B357" s="900"/>
      <c r="C357" s="900"/>
      <c r="D357" s="900"/>
      <c r="E357" s="900"/>
      <c r="F357" s="900"/>
      <c r="G357" s="158"/>
      <c r="H357" s="46"/>
      <c r="I357" s="53"/>
      <c r="J357" s="53"/>
      <c r="K357" s="171"/>
      <c r="L357" s="171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</row>
    <row r="358" spans="1:192">
      <c r="A358" s="900"/>
      <c r="B358" s="900"/>
      <c r="C358" s="900"/>
      <c r="D358" s="900"/>
      <c r="E358" s="900"/>
      <c r="F358" s="900"/>
      <c r="G358" s="158"/>
      <c r="H358" s="46"/>
      <c r="I358" s="53"/>
      <c r="J358" s="53"/>
      <c r="K358" s="171"/>
      <c r="L358" s="171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</row>
    <row r="359" spans="1:192">
      <c r="A359" s="900"/>
      <c r="B359" s="900"/>
      <c r="C359" s="900"/>
      <c r="D359" s="900"/>
      <c r="E359" s="900"/>
      <c r="F359" s="900"/>
      <c r="G359" s="158"/>
      <c r="H359" s="46"/>
      <c r="I359" s="53"/>
      <c r="J359" s="53"/>
      <c r="K359" s="171"/>
      <c r="L359" s="171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</row>
    <row r="360" spans="1:192">
      <c r="A360" s="900"/>
      <c r="B360" s="900"/>
      <c r="C360" s="900"/>
      <c r="D360" s="900"/>
      <c r="E360" s="900"/>
      <c r="F360" s="900"/>
      <c r="G360" s="158"/>
      <c r="H360" s="46"/>
      <c r="I360" s="53"/>
      <c r="J360" s="53"/>
      <c r="K360" s="171"/>
      <c r="L360" s="171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</row>
    <row r="361" spans="1:192">
      <c r="A361" s="900"/>
      <c r="B361" s="900"/>
      <c r="C361" s="900"/>
      <c r="D361" s="900"/>
      <c r="E361" s="900"/>
      <c r="F361" s="900"/>
      <c r="G361" s="158"/>
      <c r="H361" s="46"/>
      <c r="I361" s="53"/>
      <c r="J361" s="53"/>
      <c r="K361" s="171"/>
      <c r="L361" s="171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</row>
    <row r="362" spans="1:192">
      <c r="A362" s="900"/>
      <c r="B362" s="900"/>
      <c r="C362" s="900"/>
      <c r="D362" s="900"/>
      <c r="E362" s="900"/>
      <c r="F362" s="900"/>
      <c r="G362" s="158"/>
      <c r="H362" s="46"/>
      <c r="I362" s="53"/>
      <c r="J362" s="53"/>
      <c r="K362" s="171"/>
      <c r="L362" s="171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</row>
    <row r="363" spans="1:192">
      <c r="A363" s="900"/>
      <c r="B363" s="900"/>
      <c r="C363" s="900"/>
      <c r="D363" s="900"/>
      <c r="E363" s="900"/>
      <c r="F363" s="900"/>
      <c r="G363" s="158"/>
      <c r="H363" s="46"/>
      <c r="I363" s="53"/>
      <c r="J363" s="53"/>
      <c r="K363" s="171"/>
      <c r="L363" s="171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</row>
    <row r="364" spans="1:192">
      <c r="A364" s="900"/>
      <c r="B364" s="900"/>
      <c r="C364" s="900"/>
      <c r="D364" s="900"/>
      <c r="E364" s="900"/>
      <c r="F364" s="900"/>
      <c r="G364" s="158"/>
      <c r="H364" s="46"/>
      <c r="I364" s="53"/>
      <c r="J364" s="53"/>
      <c r="K364" s="171"/>
      <c r="L364" s="171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</row>
    <row r="365" spans="1:192">
      <c r="A365" s="900"/>
      <c r="B365" s="900"/>
      <c r="C365" s="900"/>
      <c r="D365" s="900"/>
      <c r="E365" s="900"/>
      <c r="F365" s="900"/>
      <c r="G365" s="158"/>
      <c r="H365" s="46"/>
      <c r="I365" s="53"/>
      <c r="J365" s="53"/>
      <c r="K365" s="171"/>
      <c r="L365" s="171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</row>
    <row r="366" spans="1:192">
      <c r="A366" s="900"/>
      <c r="B366" s="900"/>
      <c r="C366" s="900"/>
      <c r="D366" s="900"/>
      <c r="E366" s="900"/>
      <c r="F366" s="900"/>
      <c r="G366" s="158"/>
      <c r="H366" s="46"/>
      <c r="I366" s="53"/>
      <c r="J366" s="53"/>
      <c r="K366" s="171"/>
      <c r="L366" s="171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</row>
    <row r="367" spans="1:192">
      <c r="A367" s="900"/>
      <c r="B367" s="900"/>
      <c r="C367" s="900"/>
      <c r="D367" s="900"/>
      <c r="E367" s="900"/>
      <c r="F367" s="900"/>
      <c r="G367" s="158"/>
      <c r="H367" s="46"/>
      <c r="I367" s="53"/>
      <c r="J367" s="53"/>
      <c r="K367" s="171"/>
      <c r="L367" s="171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</row>
    <row r="368" spans="1:192">
      <c r="A368" s="900"/>
      <c r="B368" s="900"/>
      <c r="C368" s="900"/>
      <c r="D368" s="900"/>
      <c r="E368" s="900"/>
      <c r="F368" s="900"/>
      <c r="G368" s="158"/>
      <c r="H368" s="46"/>
      <c r="I368" s="53"/>
      <c r="J368" s="53"/>
      <c r="K368" s="171"/>
      <c r="L368" s="171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</row>
    <row r="369" spans="1:192">
      <c r="A369" s="900"/>
      <c r="B369" s="900"/>
      <c r="C369" s="900"/>
      <c r="D369" s="900"/>
      <c r="E369" s="900"/>
      <c r="F369" s="900"/>
      <c r="G369" s="158"/>
      <c r="H369" s="46"/>
      <c r="I369" s="53"/>
      <c r="J369" s="53"/>
      <c r="K369" s="171"/>
      <c r="L369" s="171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</row>
    <row r="370" spans="1:192">
      <c r="A370" s="900"/>
      <c r="B370" s="900"/>
      <c r="C370" s="900"/>
      <c r="D370" s="900"/>
      <c r="E370" s="900"/>
      <c r="F370" s="900"/>
      <c r="G370" s="158"/>
      <c r="H370" s="46"/>
      <c r="I370" s="53"/>
      <c r="J370" s="53"/>
      <c r="K370" s="171"/>
      <c r="L370" s="171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</row>
    <row r="371" spans="1:192">
      <c r="A371" s="900"/>
      <c r="B371" s="900"/>
      <c r="C371" s="900"/>
      <c r="D371" s="900"/>
      <c r="E371" s="900"/>
      <c r="F371" s="900"/>
      <c r="G371" s="158"/>
      <c r="H371" s="46"/>
      <c r="I371" s="53"/>
      <c r="J371" s="53"/>
      <c r="K371" s="171"/>
      <c r="L371" s="171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</row>
    <row r="372" spans="1:192">
      <c r="A372" s="900"/>
      <c r="B372" s="900"/>
      <c r="C372" s="900"/>
      <c r="D372" s="900"/>
      <c r="E372" s="900"/>
      <c r="F372" s="900"/>
      <c r="G372" s="158"/>
      <c r="H372" s="46"/>
      <c r="I372" s="53"/>
      <c r="J372" s="53"/>
      <c r="K372" s="171"/>
      <c r="L372" s="171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</row>
    <row r="373" spans="1:192">
      <c r="A373" s="900"/>
      <c r="B373" s="900"/>
      <c r="C373" s="900"/>
      <c r="D373" s="900"/>
      <c r="E373" s="900"/>
      <c r="F373" s="900"/>
      <c r="G373" s="158"/>
      <c r="H373" s="46"/>
      <c r="I373" s="53"/>
      <c r="J373" s="53"/>
      <c r="K373" s="171"/>
      <c r="L373" s="171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</row>
    <row r="374" spans="1:192">
      <c r="A374" s="900"/>
      <c r="B374" s="900"/>
      <c r="C374" s="900"/>
      <c r="D374" s="900"/>
      <c r="E374" s="900"/>
      <c r="F374" s="900"/>
      <c r="G374" s="158"/>
      <c r="H374" s="46"/>
      <c r="I374" s="53"/>
      <c r="J374" s="53"/>
      <c r="K374" s="171"/>
      <c r="L374" s="171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0"/>
      <c r="CM374" s="40"/>
      <c r="CN374" s="40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</row>
    <row r="375" spans="1:192">
      <c r="A375" s="900"/>
      <c r="B375" s="900"/>
      <c r="C375" s="900"/>
      <c r="D375" s="900"/>
      <c r="E375" s="900"/>
      <c r="F375" s="900"/>
      <c r="G375" s="158"/>
      <c r="H375" s="46"/>
      <c r="I375" s="53"/>
      <c r="J375" s="53"/>
      <c r="K375" s="171"/>
      <c r="L375" s="171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</row>
    <row r="376" spans="1:192">
      <c r="A376" s="900"/>
      <c r="B376" s="900"/>
      <c r="C376" s="900"/>
      <c r="D376" s="900"/>
      <c r="E376" s="900"/>
      <c r="F376" s="900"/>
      <c r="G376" s="158"/>
      <c r="H376" s="46"/>
      <c r="I376" s="53"/>
      <c r="J376" s="53"/>
      <c r="K376" s="171"/>
      <c r="L376" s="171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</row>
    <row r="377" spans="1:192">
      <c r="A377" s="900"/>
      <c r="B377" s="900"/>
      <c r="C377" s="900"/>
      <c r="D377" s="900"/>
      <c r="E377" s="900"/>
      <c r="F377" s="900"/>
      <c r="G377" s="158"/>
      <c r="H377" s="46"/>
      <c r="I377" s="53"/>
      <c r="J377" s="53"/>
      <c r="K377" s="171"/>
      <c r="L377" s="171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</row>
    <row r="378" spans="1:192">
      <c r="A378" s="900"/>
      <c r="B378" s="900"/>
      <c r="C378" s="900"/>
      <c r="D378" s="900"/>
      <c r="E378" s="900"/>
      <c r="F378" s="900"/>
      <c r="G378" s="158"/>
      <c r="H378" s="46"/>
      <c r="I378" s="53"/>
      <c r="J378" s="53"/>
      <c r="K378" s="171"/>
      <c r="L378" s="171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</row>
    <row r="379" spans="1:192">
      <c r="A379" s="900"/>
      <c r="B379" s="900"/>
      <c r="C379" s="900"/>
      <c r="D379" s="900"/>
      <c r="E379" s="900"/>
      <c r="F379" s="900"/>
      <c r="G379" s="158"/>
      <c r="H379" s="46"/>
      <c r="I379" s="53"/>
      <c r="J379" s="53"/>
      <c r="K379" s="171"/>
      <c r="L379" s="171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</row>
    <row r="380" spans="1:192">
      <c r="A380" s="900"/>
      <c r="B380" s="900"/>
      <c r="C380" s="900"/>
      <c r="D380" s="900"/>
      <c r="E380" s="900"/>
      <c r="F380" s="900"/>
      <c r="G380" s="158"/>
      <c r="H380" s="46"/>
      <c r="I380" s="53"/>
      <c r="J380" s="53"/>
      <c r="K380" s="171"/>
      <c r="L380" s="171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</row>
    <row r="381" spans="1:192">
      <c r="A381" s="900"/>
      <c r="B381" s="900"/>
      <c r="C381" s="900"/>
      <c r="D381" s="900"/>
      <c r="E381" s="900"/>
      <c r="F381" s="900"/>
      <c r="G381" s="158"/>
      <c r="H381" s="46"/>
      <c r="I381" s="53"/>
      <c r="J381" s="53"/>
      <c r="K381" s="171"/>
      <c r="L381" s="171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</row>
    <row r="382" spans="1:192">
      <c r="A382" s="900"/>
      <c r="B382" s="900"/>
      <c r="C382" s="900"/>
      <c r="D382" s="900"/>
      <c r="E382" s="900"/>
      <c r="F382" s="900"/>
      <c r="G382" s="158"/>
      <c r="H382" s="46"/>
      <c r="I382" s="53"/>
      <c r="J382" s="53"/>
      <c r="K382" s="171"/>
      <c r="L382" s="171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</row>
    <row r="383" spans="1:192">
      <c r="A383" s="900"/>
      <c r="B383" s="900"/>
      <c r="C383" s="900"/>
      <c r="D383" s="900"/>
      <c r="E383" s="900"/>
      <c r="F383" s="900"/>
      <c r="G383" s="158"/>
      <c r="H383" s="46"/>
      <c r="I383" s="53"/>
      <c r="J383" s="53"/>
      <c r="K383" s="171"/>
      <c r="L383" s="171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</row>
    <row r="384" spans="1:192">
      <c r="A384" s="900"/>
      <c r="B384" s="900"/>
      <c r="C384" s="900"/>
      <c r="D384" s="900"/>
      <c r="E384" s="900"/>
      <c r="F384" s="900"/>
      <c r="G384" s="158"/>
      <c r="H384" s="46"/>
      <c r="I384" s="53"/>
      <c r="J384" s="53"/>
      <c r="K384" s="171"/>
      <c r="L384" s="171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</row>
    <row r="385" spans="1:192">
      <c r="A385" s="900"/>
      <c r="B385" s="900"/>
      <c r="C385" s="900"/>
      <c r="D385" s="900"/>
      <c r="E385" s="900"/>
      <c r="F385" s="900"/>
      <c r="G385" s="158"/>
      <c r="H385" s="46"/>
      <c r="I385" s="53"/>
      <c r="J385" s="53"/>
      <c r="K385" s="171"/>
      <c r="L385" s="171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</row>
    <row r="386" spans="1:192">
      <c r="A386" s="900"/>
      <c r="B386" s="900"/>
      <c r="C386" s="900"/>
      <c r="D386" s="900"/>
      <c r="E386" s="900"/>
      <c r="F386" s="900"/>
      <c r="G386" s="158"/>
      <c r="H386" s="46"/>
      <c r="I386" s="53"/>
      <c r="J386" s="53"/>
      <c r="K386" s="171"/>
      <c r="L386" s="171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</row>
    <row r="387" spans="1:192">
      <c r="A387" s="900"/>
      <c r="B387" s="900"/>
      <c r="C387" s="900"/>
      <c r="D387" s="900"/>
      <c r="E387" s="900"/>
      <c r="F387" s="900"/>
      <c r="G387" s="158"/>
      <c r="H387" s="46"/>
      <c r="I387" s="53"/>
      <c r="J387" s="53"/>
      <c r="K387" s="171"/>
      <c r="L387" s="171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</row>
    <row r="388" spans="1:192">
      <c r="A388" s="900"/>
      <c r="B388" s="900"/>
      <c r="C388" s="900"/>
      <c r="D388" s="900"/>
      <c r="E388" s="900"/>
      <c r="F388" s="900"/>
      <c r="G388" s="158"/>
      <c r="H388" s="46"/>
      <c r="I388" s="53"/>
      <c r="J388" s="53"/>
      <c r="K388" s="171"/>
      <c r="L388" s="171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</row>
    <row r="389" spans="1:192">
      <c r="A389" s="900"/>
      <c r="B389" s="900"/>
      <c r="C389" s="900"/>
      <c r="D389" s="900"/>
      <c r="E389" s="900"/>
      <c r="F389" s="900"/>
      <c r="G389" s="158"/>
      <c r="H389" s="46"/>
      <c r="I389" s="53"/>
      <c r="J389" s="53"/>
      <c r="K389" s="171"/>
      <c r="L389" s="171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</row>
    <row r="390" spans="1:192">
      <c r="A390" s="900"/>
      <c r="B390" s="900"/>
      <c r="C390" s="900"/>
      <c r="D390" s="900"/>
      <c r="E390" s="900"/>
      <c r="F390" s="900"/>
      <c r="G390" s="158"/>
      <c r="H390" s="46"/>
      <c r="I390" s="53"/>
      <c r="J390" s="53"/>
      <c r="K390" s="171"/>
      <c r="L390" s="171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</row>
    <row r="391" spans="1:192">
      <c r="A391" s="900"/>
      <c r="B391" s="900"/>
      <c r="C391" s="900"/>
      <c r="D391" s="900"/>
      <c r="E391" s="900"/>
      <c r="F391" s="900"/>
      <c r="G391" s="158"/>
      <c r="H391" s="46"/>
      <c r="I391" s="53"/>
      <c r="J391" s="53"/>
      <c r="K391" s="171"/>
      <c r="L391" s="171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  <c r="CD391" s="40"/>
      <c r="CE391" s="40"/>
      <c r="CF391" s="40"/>
      <c r="CG391" s="40"/>
      <c r="CH391" s="40"/>
      <c r="CI391" s="40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</row>
    <row r="392" spans="1:192">
      <c r="A392" s="900"/>
      <c r="B392" s="900"/>
      <c r="C392" s="900"/>
      <c r="D392" s="900"/>
      <c r="E392" s="900"/>
      <c r="F392" s="900"/>
      <c r="G392" s="158"/>
      <c r="H392" s="46"/>
      <c r="I392" s="53"/>
      <c r="J392" s="53"/>
      <c r="K392" s="171"/>
      <c r="L392" s="171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  <c r="CD392" s="40"/>
      <c r="CE392" s="40"/>
      <c r="CF392" s="40"/>
      <c r="CG392" s="40"/>
      <c r="CH392" s="40"/>
      <c r="CI392" s="40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</row>
    <row r="393" spans="1:192">
      <c r="A393" s="900"/>
      <c r="B393" s="900"/>
      <c r="C393" s="900"/>
      <c r="D393" s="900"/>
      <c r="E393" s="900"/>
      <c r="F393" s="900"/>
      <c r="G393" s="158"/>
      <c r="H393" s="46"/>
      <c r="I393" s="53"/>
      <c r="J393" s="53"/>
      <c r="K393" s="171"/>
      <c r="L393" s="171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</row>
    <row r="394" spans="1:192">
      <c r="A394" s="900"/>
      <c r="B394" s="900"/>
      <c r="C394" s="900"/>
      <c r="D394" s="900"/>
      <c r="E394" s="900"/>
      <c r="F394" s="900"/>
      <c r="G394" s="158"/>
      <c r="H394" s="46"/>
      <c r="I394" s="53"/>
      <c r="J394" s="53"/>
      <c r="K394" s="171"/>
      <c r="L394" s="171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</row>
    <row r="395" spans="1:192">
      <c r="A395" s="900"/>
      <c r="B395" s="900"/>
      <c r="C395" s="900"/>
      <c r="D395" s="900"/>
      <c r="E395" s="900"/>
      <c r="F395" s="900"/>
      <c r="G395" s="158"/>
      <c r="H395" s="46"/>
      <c r="I395" s="53"/>
      <c r="J395" s="53"/>
      <c r="K395" s="171"/>
      <c r="L395" s="171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</row>
    <row r="396" spans="1:192">
      <c r="A396" s="900"/>
      <c r="B396" s="900"/>
      <c r="C396" s="900"/>
      <c r="D396" s="900"/>
      <c r="E396" s="900"/>
      <c r="F396" s="900"/>
      <c r="G396" s="158"/>
      <c r="H396" s="46"/>
      <c r="I396" s="53"/>
      <c r="J396" s="53"/>
      <c r="K396" s="171"/>
      <c r="L396" s="171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</row>
    <row r="397" spans="1:192">
      <c r="A397" s="900"/>
      <c r="B397" s="900"/>
      <c r="C397" s="900"/>
      <c r="D397" s="900"/>
      <c r="E397" s="900"/>
      <c r="F397" s="900"/>
      <c r="G397" s="158"/>
      <c r="H397" s="46"/>
      <c r="I397" s="53"/>
      <c r="J397" s="53"/>
      <c r="K397" s="171"/>
      <c r="L397" s="171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  <c r="BZ397" s="40"/>
      <c r="CA397" s="40"/>
      <c r="CB397" s="40"/>
      <c r="CC397" s="40"/>
      <c r="CD397" s="40"/>
      <c r="CE397" s="40"/>
      <c r="CF397" s="40"/>
      <c r="CG397" s="40"/>
      <c r="CH397" s="40"/>
      <c r="CI397" s="40"/>
      <c r="CJ397" s="40"/>
      <c r="CK397" s="40"/>
      <c r="CL397" s="40"/>
      <c r="CM397" s="40"/>
      <c r="CN397" s="40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</row>
    <row r="398" spans="1:192">
      <c r="A398" s="900"/>
      <c r="B398" s="900"/>
      <c r="C398" s="900"/>
      <c r="D398" s="900"/>
      <c r="E398" s="900"/>
      <c r="F398" s="900"/>
      <c r="G398" s="158"/>
      <c r="H398" s="46"/>
      <c r="I398" s="53"/>
      <c r="J398" s="53"/>
      <c r="K398" s="171"/>
      <c r="L398" s="171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  <c r="BX398" s="40"/>
      <c r="BY398" s="40"/>
      <c r="BZ398" s="40"/>
      <c r="CA398" s="40"/>
      <c r="CB398" s="40"/>
      <c r="CC398" s="40"/>
      <c r="CD398" s="40"/>
      <c r="CE398" s="40"/>
      <c r="CF398" s="40"/>
      <c r="CG398" s="40"/>
      <c r="CH398" s="40"/>
      <c r="CI398" s="40"/>
      <c r="CJ398" s="40"/>
      <c r="CK398" s="40"/>
      <c r="CL398" s="40"/>
      <c r="CM398" s="40"/>
      <c r="CN398" s="40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40"/>
      <c r="EG398" s="40"/>
      <c r="EH398" s="40"/>
      <c r="EI398" s="40"/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</row>
    <row r="399" spans="1:192">
      <c r="A399" s="900"/>
      <c r="B399" s="900"/>
      <c r="C399" s="900"/>
      <c r="D399" s="900"/>
      <c r="E399" s="900"/>
      <c r="F399" s="900"/>
      <c r="G399" s="158"/>
      <c r="H399" s="46"/>
      <c r="I399" s="53"/>
      <c r="J399" s="53"/>
      <c r="K399" s="171"/>
      <c r="L399" s="171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</row>
    <row r="400" spans="1:192">
      <c r="A400" s="900"/>
      <c r="B400" s="900"/>
      <c r="C400" s="900"/>
      <c r="D400" s="900"/>
      <c r="E400" s="900"/>
      <c r="F400" s="900"/>
      <c r="G400" s="158"/>
      <c r="H400" s="46"/>
      <c r="I400" s="53"/>
      <c r="J400" s="53"/>
      <c r="K400" s="171"/>
      <c r="L400" s="171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  <c r="BZ400" s="40"/>
      <c r="CA400" s="40"/>
      <c r="CB400" s="40"/>
      <c r="CC400" s="40"/>
      <c r="CD400" s="40"/>
      <c r="CE400" s="40"/>
      <c r="CF400" s="40"/>
      <c r="CG400" s="40"/>
      <c r="CH400" s="40"/>
      <c r="CI400" s="40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</row>
    <row r="401" spans="1:192">
      <c r="A401" s="900"/>
      <c r="B401" s="900"/>
      <c r="C401" s="900"/>
      <c r="D401" s="900"/>
      <c r="E401" s="900"/>
      <c r="F401" s="900"/>
      <c r="G401" s="158"/>
      <c r="H401" s="46"/>
      <c r="I401" s="53"/>
      <c r="J401" s="53"/>
      <c r="K401" s="171"/>
      <c r="L401" s="171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  <c r="BZ401" s="40"/>
      <c r="CA401" s="40"/>
      <c r="CB401" s="40"/>
      <c r="CC401" s="40"/>
      <c r="CD401" s="40"/>
      <c r="CE401" s="40"/>
      <c r="CF401" s="40"/>
      <c r="CG401" s="40"/>
      <c r="CH401" s="40"/>
      <c r="CI401" s="40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</row>
    <row r="402" spans="1:192">
      <c r="A402" s="900"/>
      <c r="B402" s="900"/>
      <c r="C402" s="900"/>
      <c r="D402" s="900"/>
      <c r="E402" s="900"/>
      <c r="F402" s="900"/>
      <c r="G402" s="158"/>
      <c r="H402" s="46"/>
      <c r="I402" s="53"/>
      <c r="J402" s="53"/>
      <c r="K402" s="171"/>
      <c r="L402" s="171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/>
      <c r="CB402" s="40"/>
      <c r="CC402" s="40"/>
      <c r="CD402" s="40"/>
      <c r="CE402" s="40"/>
      <c r="CF402" s="40"/>
      <c r="CG402" s="40"/>
      <c r="CH402" s="40"/>
      <c r="CI402" s="40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</row>
    <row r="403" spans="1:192">
      <c r="A403" s="900"/>
      <c r="B403" s="900"/>
      <c r="C403" s="900"/>
      <c r="D403" s="900"/>
      <c r="E403" s="900"/>
      <c r="F403" s="900"/>
      <c r="G403" s="158"/>
      <c r="H403" s="46"/>
      <c r="I403" s="53"/>
      <c r="J403" s="53"/>
      <c r="K403" s="171"/>
      <c r="L403" s="171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</row>
    <row r="404" spans="1:192">
      <c r="A404" s="900"/>
      <c r="B404" s="900"/>
      <c r="C404" s="900"/>
      <c r="D404" s="900"/>
      <c r="E404" s="900"/>
      <c r="F404" s="900"/>
      <c r="G404" s="158"/>
      <c r="H404" s="46"/>
      <c r="I404" s="53"/>
      <c r="J404" s="53"/>
      <c r="K404" s="171"/>
      <c r="L404" s="171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  <c r="BX404" s="40"/>
      <c r="BY404" s="40"/>
      <c r="BZ404" s="40"/>
      <c r="CA404" s="40"/>
      <c r="CB404" s="40"/>
      <c r="CC404" s="40"/>
      <c r="CD404" s="40"/>
      <c r="CE404" s="40"/>
      <c r="CF404" s="40"/>
      <c r="CG404" s="40"/>
      <c r="CH404" s="40"/>
      <c r="CI404" s="40"/>
      <c r="CJ404" s="40"/>
      <c r="CK404" s="40"/>
      <c r="CL404" s="40"/>
      <c r="CM404" s="40"/>
      <c r="CN404" s="40"/>
      <c r="CO404" s="40"/>
      <c r="CP404" s="40"/>
      <c r="CQ404" s="40"/>
      <c r="CR404" s="40"/>
      <c r="CS404" s="40"/>
      <c r="CT404" s="40"/>
      <c r="CU404" s="40"/>
      <c r="CV404" s="40"/>
      <c r="CW404" s="40"/>
      <c r="CX404" s="40"/>
      <c r="CY404" s="40"/>
      <c r="CZ404" s="40"/>
      <c r="DA404" s="40"/>
      <c r="DB404" s="40"/>
      <c r="DC404" s="40"/>
      <c r="DD404" s="40"/>
      <c r="DE404" s="40"/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40"/>
      <c r="EG404" s="40"/>
      <c r="EH404" s="40"/>
      <c r="EI404" s="40"/>
      <c r="EJ404" s="40"/>
      <c r="EK404" s="40"/>
      <c r="EL404" s="40"/>
      <c r="EM404" s="40"/>
      <c r="EN404" s="40"/>
      <c r="EO404" s="40"/>
      <c r="EP404" s="40"/>
      <c r="EQ404" s="40"/>
      <c r="ER404" s="40"/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</row>
    <row r="405" spans="1:192">
      <c r="A405" s="900"/>
      <c r="B405" s="900"/>
      <c r="C405" s="900"/>
      <c r="D405" s="900"/>
      <c r="E405" s="900"/>
      <c r="F405" s="900"/>
      <c r="G405" s="158"/>
      <c r="H405" s="46"/>
      <c r="I405" s="53"/>
      <c r="J405" s="53"/>
      <c r="K405" s="171"/>
      <c r="L405" s="171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</row>
    <row r="406" spans="1:192">
      <c r="A406" s="900"/>
      <c r="B406" s="900"/>
      <c r="C406" s="900"/>
      <c r="D406" s="900"/>
      <c r="E406" s="900"/>
      <c r="F406" s="900"/>
      <c r="G406" s="158"/>
      <c r="H406" s="46"/>
      <c r="I406" s="53"/>
      <c r="J406" s="53"/>
      <c r="K406" s="171"/>
      <c r="L406" s="171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</row>
    <row r="407" spans="1:192">
      <c r="A407" s="900"/>
      <c r="B407" s="900"/>
      <c r="C407" s="900"/>
      <c r="D407" s="900"/>
      <c r="E407" s="900"/>
      <c r="F407" s="900"/>
      <c r="G407" s="158"/>
      <c r="H407" s="46"/>
      <c r="I407" s="53"/>
      <c r="J407" s="53"/>
      <c r="K407" s="171"/>
      <c r="L407" s="171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  <c r="BZ407" s="40"/>
      <c r="CA407" s="40"/>
      <c r="CB407" s="40"/>
      <c r="CC407" s="40"/>
      <c r="CD407" s="40"/>
      <c r="CE407" s="40"/>
      <c r="CF407" s="40"/>
      <c r="CG407" s="40"/>
      <c r="CH407" s="40"/>
      <c r="CI407" s="40"/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</row>
    <row r="408" spans="1:192">
      <c r="A408" s="900"/>
      <c r="B408" s="900"/>
      <c r="C408" s="900"/>
      <c r="D408" s="900"/>
      <c r="E408" s="900"/>
      <c r="F408" s="900"/>
      <c r="G408" s="158"/>
      <c r="H408" s="46"/>
      <c r="I408" s="53"/>
      <c r="J408" s="53"/>
      <c r="K408" s="171"/>
      <c r="L408" s="171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</row>
    <row r="409" spans="1:192">
      <c r="A409" s="900"/>
      <c r="B409" s="900"/>
      <c r="C409" s="900"/>
      <c r="D409" s="900"/>
      <c r="E409" s="900"/>
      <c r="F409" s="900"/>
      <c r="G409" s="158"/>
      <c r="H409" s="46"/>
      <c r="I409" s="53"/>
      <c r="J409" s="53"/>
      <c r="K409" s="171"/>
      <c r="L409" s="171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/>
      <c r="BY409" s="40"/>
      <c r="BZ409" s="40"/>
      <c r="CA409" s="40"/>
      <c r="CB409" s="40"/>
      <c r="CC409" s="40"/>
      <c r="CD409" s="40"/>
      <c r="CE409" s="40"/>
      <c r="CF409" s="40"/>
      <c r="CG409" s="40"/>
      <c r="CH409" s="40"/>
      <c r="CI409" s="40"/>
      <c r="CJ409" s="40"/>
      <c r="CK409" s="40"/>
      <c r="CL409" s="40"/>
      <c r="CM409" s="40"/>
      <c r="CN409" s="40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</row>
    <row r="410" spans="1:192">
      <c r="A410" s="900"/>
      <c r="B410" s="900"/>
      <c r="C410" s="900"/>
      <c r="D410" s="900"/>
      <c r="E410" s="900"/>
      <c r="F410" s="900"/>
      <c r="G410" s="158"/>
      <c r="H410" s="46"/>
      <c r="I410" s="53"/>
      <c r="J410" s="53"/>
      <c r="K410" s="171"/>
      <c r="L410" s="171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  <c r="BX410" s="40"/>
      <c r="BY410" s="40"/>
      <c r="BZ410" s="40"/>
      <c r="CA410" s="40"/>
      <c r="CB410" s="40"/>
      <c r="CC410" s="40"/>
      <c r="CD410" s="40"/>
      <c r="CE410" s="40"/>
      <c r="CF410" s="40"/>
      <c r="CG410" s="40"/>
      <c r="CH410" s="40"/>
      <c r="CI410" s="40"/>
      <c r="CJ410" s="40"/>
      <c r="CK410" s="40"/>
      <c r="CL410" s="40"/>
      <c r="CM410" s="40"/>
      <c r="CN410" s="40"/>
      <c r="CO410" s="40"/>
      <c r="CP410" s="40"/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40"/>
      <c r="EG410" s="40"/>
      <c r="EH410" s="40"/>
      <c r="EI410" s="40"/>
      <c r="EJ410" s="40"/>
      <c r="EK410" s="40"/>
      <c r="EL410" s="40"/>
      <c r="EM410" s="40"/>
      <c r="EN410" s="40"/>
      <c r="EO410" s="40"/>
      <c r="EP410" s="40"/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</row>
    <row r="411" spans="1:192">
      <c r="A411" s="900"/>
      <c r="B411" s="900"/>
      <c r="C411" s="900"/>
      <c r="D411" s="900"/>
      <c r="E411" s="900"/>
      <c r="F411" s="900"/>
      <c r="G411" s="158"/>
      <c r="H411" s="46"/>
      <c r="I411" s="53"/>
      <c r="J411" s="53"/>
      <c r="K411" s="171"/>
      <c r="L411" s="171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</row>
    <row r="412" spans="1:192">
      <c r="A412" s="900"/>
      <c r="B412" s="900"/>
      <c r="C412" s="900"/>
      <c r="D412" s="900"/>
      <c r="E412" s="900"/>
      <c r="F412" s="900"/>
      <c r="G412" s="158"/>
      <c r="H412" s="46"/>
      <c r="I412" s="53"/>
      <c r="J412" s="53"/>
      <c r="K412" s="171"/>
      <c r="L412" s="171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  <c r="BX412" s="40"/>
      <c r="BY412" s="40"/>
      <c r="BZ412" s="40"/>
      <c r="CA412" s="40"/>
      <c r="CB412" s="40"/>
      <c r="CC412" s="40"/>
      <c r="CD412" s="40"/>
      <c r="CE412" s="40"/>
      <c r="CF412" s="40"/>
      <c r="CG412" s="40"/>
      <c r="CH412" s="40"/>
      <c r="CI412" s="40"/>
      <c r="CJ412" s="40"/>
      <c r="CK412" s="40"/>
      <c r="CL412" s="40"/>
      <c r="CM412" s="40"/>
      <c r="CN412" s="40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40"/>
      <c r="EG412" s="40"/>
      <c r="EH412" s="40"/>
      <c r="EI412" s="40"/>
      <c r="EJ412" s="40"/>
      <c r="EK412" s="40"/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</row>
    <row r="413" spans="1:192">
      <c r="A413" s="900"/>
      <c r="B413" s="900"/>
      <c r="C413" s="900"/>
      <c r="D413" s="900"/>
      <c r="E413" s="900"/>
      <c r="F413" s="900"/>
      <c r="G413" s="158"/>
      <c r="H413" s="46"/>
      <c r="I413" s="53"/>
      <c r="J413" s="53"/>
      <c r="K413" s="171"/>
      <c r="L413" s="171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  <c r="BZ413" s="40"/>
      <c r="CA413" s="40"/>
      <c r="CB413" s="40"/>
      <c r="CC413" s="40"/>
      <c r="CD413" s="40"/>
      <c r="CE413" s="40"/>
      <c r="CF413" s="40"/>
      <c r="CG413" s="40"/>
      <c r="CH413" s="40"/>
      <c r="CI413" s="40"/>
      <c r="CJ413" s="40"/>
      <c r="CK413" s="40"/>
      <c r="CL413" s="40"/>
      <c r="CM413" s="40"/>
      <c r="CN413" s="40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</row>
    <row r="414" spans="1:192">
      <c r="A414" s="900"/>
      <c r="B414" s="900"/>
      <c r="C414" s="900"/>
      <c r="D414" s="900"/>
      <c r="E414" s="900"/>
      <c r="F414" s="900"/>
      <c r="G414" s="158"/>
      <c r="H414" s="46"/>
      <c r="I414" s="53"/>
      <c r="J414" s="53"/>
      <c r="K414" s="171"/>
      <c r="L414" s="171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</row>
    <row r="415" spans="1:192">
      <c r="A415" s="900"/>
      <c r="B415" s="900"/>
      <c r="C415" s="900"/>
      <c r="D415" s="900"/>
      <c r="E415" s="900"/>
      <c r="F415" s="900"/>
      <c r="G415" s="158"/>
      <c r="H415" s="46"/>
      <c r="I415" s="53"/>
      <c r="J415" s="53"/>
      <c r="K415" s="171"/>
      <c r="L415" s="171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  <c r="BX415" s="40"/>
      <c r="BY415" s="40"/>
      <c r="BZ415" s="40"/>
      <c r="CA415" s="40"/>
      <c r="CB415" s="40"/>
      <c r="CC415" s="40"/>
      <c r="CD415" s="40"/>
      <c r="CE415" s="40"/>
      <c r="CF415" s="40"/>
      <c r="CG415" s="40"/>
      <c r="CH415" s="40"/>
      <c r="CI415" s="40"/>
      <c r="CJ415" s="40"/>
      <c r="CK415" s="40"/>
      <c r="CL415" s="40"/>
      <c r="CM415" s="40"/>
      <c r="CN415" s="40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40"/>
      <c r="EG415" s="40"/>
      <c r="EH415" s="40"/>
      <c r="EI415" s="40"/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</row>
    <row r="416" spans="1:192">
      <c r="A416" s="900"/>
      <c r="B416" s="900"/>
      <c r="C416" s="900"/>
      <c r="D416" s="900"/>
      <c r="E416" s="900"/>
      <c r="F416" s="900"/>
      <c r="G416" s="158"/>
      <c r="H416" s="46"/>
      <c r="I416" s="53"/>
      <c r="J416" s="53"/>
      <c r="K416" s="171"/>
      <c r="L416" s="171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  <c r="BZ416" s="40"/>
      <c r="CA416" s="40"/>
      <c r="CB416" s="40"/>
      <c r="CC416" s="40"/>
      <c r="CD416" s="40"/>
      <c r="CE416" s="40"/>
      <c r="CF416" s="40"/>
      <c r="CG416" s="40"/>
      <c r="CH416" s="40"/>
      <c r="CI416" s="40"/>
      <c r="CJ416" s="40"/>
      <c r="CK416" s="40"/>
      <c r="CL416" s="40"/>
      <c r="CM416" s="40"/>
      <c r="CN416" s="40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40"/>
      <c r="EG416" s="40"/>
      <c r="EH416" s="40"/>
      <c r="EI416" s="40"/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</row>
    <row r="417" spans="1:192">
      <c r="A417" s="900"/>
      <c r="B417" s="900"/>
      <c r="C417" s="900"/>
      <c r="D417" s="900"/>
      <c r="E417" s="900"/>
      <c r="F417" s="900"/>
      <c r="G417" s="158"/>
      <c r="H417" s="46"/>
      <c r="I417" s="53"/>
      <c r="J417" s="53"/>
      <c r="K417" s="171"/>
      <c r="L417" s="171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</row>
    <row r="418" spans="1:192">
      <c r="A418" s="900"/>
      <c r="B418" s="900"/>
      <c r="C418" s="900"/>
      <c r="D418" s="900"/>
      <c r="E418" s="900"/>
      <c r="F418" s="900"/>
      <c r="G418" s="158"/>
      <c r="H418" s="46"/>
      <c r="I418" s="53"/>
      <c r="J418" s="53"/>
      <c r="K418" s="171"/>
      <c r="L418" s="171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  <c r="CC418" s="40"/>
      <c r="CD418" s="40"/>
      <c r="CE418" s="40"/>
      <c r="CF418" s="40"/>
      <c r="CG418" s="40"/>
      <c r="CH418" s="40"/>
      <c r="CI418" s="40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</row>
    <row r="419" spans="1:192">
      <c r="A419" s="900"/>
      <c r="B419" s="900"/>
      <c r="C419" s="900"/>
      <c r="D419" s="900"/>
      <c r="E419" s="900"/>
      <c r="F419" s="900"/>
      <c r="G419" s="158"/>
      <c r="H419" s="46"/>
      <c r="I419" s="53"/>
      <c r="J419" s="53"/>
      <c r="K419" s="171"/>
      <c r="L419" s="171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</row>
    <row r="420" spans="1:192">
      <c r="A420" s="900"/>
      <c r="B420" s="900"/>
      <c r="C420" s="900"/>
      <c r="D420" s="900"/>
      <c r="E420" s="900"/>
      <c r="F420" s="900"/>
      <c r="G420" s="158"/>
      <c r="H420" s="46"/>
      <c r="I420" s="53"/>
      <c r="J420" s="53"/>
      <c r="K420" s="171"/>
      <c r="L420" s="171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</row>
    <row r="421" spans="1:192">
      <c r="A421" s="900"/>
      <c r="B421" s="900"/>
      <c r="C421" s="900"/>
      <c r="D421" s="900"/>
      <c r="E421" s="900"/>
      <c r="F421" s="900"/>
      <c r="G421" s="158"/>
      <c r="H421" s="46"/>
      <c r="I421" s="53"/>
      <c r="J421" s="53"/>
      <c r="K421" s="171"/>
      <c r="L421" s="171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  <c r="BZ421" s="40"/>
      <c r="CA421" s="40"/>
      <c r="CB421" s="40"/>
      <c r="CC421" s="40"/>
      <c r="CD421" s="40"/>
      <c r="CE421" s="40"/>
      <c r="CF421" s="40"/>
      <c r="CG421" s="40"/>
      <c r="CH421" s="40"/>
      <c r="CI421" s="40"/>
      <c r="CJ421" s="40"/>
      <c r="CK421" s="40"/>
      <c r="CL421" s="40"/>
      <c r="CM421" s="40"/>
      <c r="CN421" s="40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</row>
    <row r="422" spans="1:192">
      <c r="A422" s="900"/>
      <c r="B422" s="900"/>
      <c r="C422" s="900"/>
      <c r="D422" s="900"/>
      <c r="E422" s="900"/>
      <c r="F422" s="900"/>
      <c r="G422" s="158"/>
      <c r="H422" s="46"/>
      <c r="I422" s="53"/>
      <c r="J422" s="53"/>
      <c r="K422" s="171"/>
      <c r="L422" s="171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  <c r="BX422" s="40"/>
      <c r="BY422" s="40"/>
      <c r="BZ422" s="40"/>
      <c r="CA422" s="40"/>
      <c r="CB422" s="40"/>
      <c r="CC422" s="40"/>
      <c r="CD422" s="40"/>
      <c r="CE422" s="40"/>
      <c r="CF422" s="40"/>
      <c r="CG422" s="40"/>
      <c r="CH422" s="40"/>
      <c r="CI422" s="40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40"/>
      <c r="EG422" s="40"/>
      <c r="EH422" s="40"/>
      <c r="EI422" s="40"/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</row>
    <row r="423" spans="1:192">
      <c r="A423" s="900"/>
      <c r="B423" s="900"/>
      <c r="C423" s="900"/>
      <c r="D423" s="900"/>
      <c r="E423" s="900"/>
      <c r="F423" s="900"/>
      <c r="G423" s="158"/>
      <c r="H423" s="46"/>
      <c r="I423" s="53"/>
      <c r="J423" s="53"/>
      <c r="K423" s="171"/>
      <c r="L423" s="171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</row>
    <row r="424" spans="1:192">
      <c r="A424" s="900"/>
      <c r="B424" s="900"/>
      <c r="C424" s="900"/>
      <c r="D424" s="900"/>
      <c r="E424" s="900"/>
      <c r="F424" s="900"/>
      <c r="G424" s="158"/>
      <c r="H424" s="46"/>
      <c r="I424" s="53"/>
      <c r="J424" s="53"/>
      <c r="K424" s="171"/>
      <c r="L424" s="171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</row>
    <row r="425" spans="1:192">
      <c r="A425" s="900"/>
      <c r="B425" s="900"/>
      <c r="C425" s="900"/>
      <c r="D425" s="900"/>
      <c r="E425" s="900"/>
      <c r="F425" s="900"/>
      <c r="G425" s="158"/>
      <c r="H425" s="46"/>
      <c r="I425" s="53"/>
      <c r="J425" s="53"/>
      <c r="K425" s="171"/>
      <c r="L425" s="171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</row>
    <row r="426" spans="1:192">
      <c r="A426" s="900"/>
      <c r="B426" s="900"/>
      <c r="C426" s="900"/>
      <c r="D426" s="900"/>
      <c r="E426" s="900"/>
      <c r="F426" s="900"/>
      <c r="G426" s="158"/>
      <c r="H426" s="46"/>
      <c r="I426" s="53"/>
      <c r="J426" s="53"/>
      <c r="K426" s="171"/>
      <c r="L426" s="171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</row>
    <row r="427" spans="1:192">
      <c r="A427" s="900"/>
      <c r="B427" s="900"/>
      <c r="C427" s="900"/>
      <c r="D427" s="900"/>
      <c r="E427" s="900"/>
      <c r="F427" s="900"/>
      <c r="G427" s="158"/>
      <c r="H427" s="46"/>
      <c r="I427" s="53"/>
      <c r="J427" s="53"/>
      <c r="K427" s="171"/>
      <c r="L427" s="171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  <c r="BW427" s="40"/>
      <c r="BX427" s="40"/>
      <c r="BY427" s="40"/>
      <c r="BZ427" s="40"/>
      <c r="CA427" s="40"/>
      <c r="CB427" s="40"/>
      <c r="CC427" s="40"/>
      <c r="CD427" s="40"/>
      <c r="CE427" s="40"/>
      <c r="CF427" s="40"/>
      <c r="CG427" s="40"/>
      <c r="CH427" s="40"/>
      <c r="CI427" s="40"/>
      <c r="CJ427" s="40"/>
      <c r="CK427" s="40"/>
      <c r="CL427" s="40"/>
      <c r="CM427" s="40"/>
      <c r="CN427" s="40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/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/>
      <c r="EE427" s="40"/>
      <c r="EF427" s="40"/>
      <c r="EG427" s="40"/>
      <c r="EH427" s="40"/>
      <c r="EI427" s="40"/>
      <c r="EJ427" s="40"/>
      <c r="EK427" s="40"/>
      <c r="EL427" s="40"/>
      <c r="EM427" s="40"/>
      <c r="EN427" s="40"/>
      <c r="EO427" s="40"/>
      <c r="EP427" s="40"/>
      <c r="EQ427" s="40"/>
      <c r="ER427" s="40"/>
      <c r="ES427" s="40"/>
      <c r="ET427" s="40"/>
      <c r="EU427" s="40"/>
      <c r="EV427" s="40"/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</row>
    <row r="428" spans="1:192">
      <c r="A428" s="900"/>
      <c r="B428" s="900"/>
      <c r="C428" s="900"/>
      <c r="D428" s="900"/>
      <c r="E428" s="900"/>
      <c r="F428" s="900"/>
      <c r="G428" s="158"/>
      <c r="H428" s="46"/>
      <c r="I428" s="53"/>
      <c r="J428" s="53"/>
      <c r="K428" s="171"/>
      <c r="L428" s="171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  <c r="BX428" s="40"/>
      <c r="BY428" s="40"/>
      <c r="BZ428" s="40"/>
      <c r="CA428" s="40"/>
      <c r="CB428" s="40"/>
      <c r="CC428" s="40"/>
      <c r="CD428" s="40"/>
      <c r="CE428" s="40"/>
      <c r="CF428" s="40"/>
      <c r="CG428" s="40"/>
      <c r="CH428" s="40"/>
      <c r="CI428" s="40"/>
      <c r="CJ428" s="40"/>
      <c r="CK428" s="40"/>
      <c r="CL428" s="40"/>
      <c r="CM428" s="40"/>
      <c r="CN428" s="40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/>
      <c r="EE428" s="40"/>
      <c r="EF428" s="40"/>
      <c r="EG428" s="40"/>
      <c r="EH428" s="40"/>
      <c r="EI428" s="40"/>
      <c r="EJ428" s="40"/>
      <c r="EK428" s="40"/>
      <c r="EL428" s="40"/>
      <c r="EM428" s="40"/>
      <c r="EN428" s="40"/>
      <c r="EO428" s="40"/>
      <c r="EP428" s="40"/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</row>
    <row r="429" spans="1:192">
      <c r="A429" s="900"/>
      <c r="B429" s="900"/>
      <c r="C429" s="900"/>
      <c r="D429" s="900"/>
      <c r="E429" s="900"/>
      <c r="F429" s="900"/>
      <c r="G429" s="158"/>
      <c r="H429" s="46"/>
      <c r="I429" s="53"/>
      <c r="J429" s="53"/>
      <c r="K429" s="171"/>
      <c r="L429" s="171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</row>
    <row r="430" spans="1:192">
      <c r="A430" s="900"/>
      <c r="B430" s="900"/>
      <c r="C430" s="900"/>
      <c r="D430" s="900"/>
      <c r="E430" s="900"/>
      <c r="F430" s="900"/>
      <c r="G430" s="158"/>
      <c r="H430" s="46"/>
      <c r="I430" s="53"/>
      <c r="J430" s="53"/>
      <c r="K430" s="171"/>
      <c r="L430" s="171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</row>
    <row r="431" spans="1:192">
      <c r="A431" s="900"/>
      <c r="B431" s="900"/>
      <c r="C431" s="900"/>
      <c r="D431" s="900"/>
      <c r="E431" s="900"/>
      <c r="F431" s="900"/>
      <c r="G431" s="158"/>
      <c r="H431" s="46"/>
      <c r="I431" s="53"/>
      <c r="J431" s="53"/>
      <c r="K431" s="171"/>
      <c r="L431" s="171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</row>
    <row r="432" spans="1:192">
      <c r="A432" s="900"/>
      <c r="B432" s="900"/>
      <c r="C432" s="900"/>
      <c r="D432" s="900"/>
      <c r="E432" s="900"/>
      <c r="F432" s="900"/>
      <c r="G432" s="158"/>
      <c r="H432" s="46"/>
      <c r="I432" s="53"/>
      <c r="J432" s="53"/>
      <c r="K432" s="171"/>
      <c r="L432" s="171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</row>
    <row r="433" spans="1:192">
      <c r="A433" s="900"/>
      <c r="B433" s="900"/>
      <c r="C433" s="900"/>
      <c r="D433" s="900"/>
      <c r="E433" s="900"/>
      <c r="F433" s="900"/>
      <c r="G433" s="158"/>
      <c r="H433" s="46"/>
      <c r="I433" s="53"/>
      <c r="J433" s="53"/>
      <c r="K433" s="171"/>
      <c r="L433" s="171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/>
      <c r="BY433" s="40"/>
      <c r="BZ433" s="40"/>
      <c r="CA433" s="40"/>
      <c r="CB433" s="40"/>
      <c r="CC433" s="40"/>
      <c r="CD433" s="40"/>
      <c r="CE433" s="40"/>
      <c r="CF433" s="40"/>
      <c r="CG433" s="40"/>
      <c r="CH433" s="40"/>
      <c r="CI433" s="40"/>
      <c r="CJ433" s="40"/>
      <c r="CK433" s="40"/>
      <c r="CL433" s="40"/>
      <c r="CM433" s="40"/>
      <c r="CN433" s="40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</row>
    <row r="434" spans="1:192">
      <c r="A434" s="900"/>
      <c r="B434" s="900"/>
      <c r="C434" s="900"/>
      <c r="D434" s="900"/>
      <c r="E434" s="900"/>
      <c r="F434" s="900"/>
      <c r="G434" s="158"/>
      <c r="H434" s="46"/>
      <c r="I434" s="53"/>
      <c r="J434" s="53"/>
      <c r="K434" s="171"/>
      <c r="L434" s="171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  <c r="BX434" s="40"/>
      <c r="BY434" s="40"/>
      <c r="BZ434" s="40"/>
      <c r="CA434" s="40"/>
      <c r="CB434" s="40"/>
      <c r="CC434" s="40"/>
      <c r="CD434" s="40"/>
      <c r="CE434" s="40"/>
      <c r="CF434" s="40"/>
      <c r="CG434" s="40"/>
      <c r="CH434" s="40"/>
      <c r="CI434" s="40"/>
      <c r="CJ434" s="40"/>
      <c r="CK434" s="40"/>
      <c r="CL434" s="40"/>
      <c r="CM434" s="40"/>
      <c r="CN434" s="40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</row>
    <row r="435" spans="1:192">
      <c r="A435" s="900"/>
      <c r="B435" s="900"/>
      <c r="C435" s="900"/>
      <c r="D435" s="900"/>
      <c r="E435" s="900"/>
      <c r="F435" s="900"/>
      <c r="G435" s="158"/>
      <c r="H435" s="46"/>
      <c r="I435" s="53"/>
      <c r="J435" s="53"/>
      <c r="K435" s="171"/>
      <c r="L435" s="171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  <c r="BZ435" s="40"/>
      <c r="CA435" s="40"/>
      <c r="CB435" s="40"/>
      <c r="CC435" s="40"/>
      <c r="CD435" s="40"/>
      <c r="CE435" s="40"/>
      <c r="CF435" s="40"/>
      <c r="CG435" s="40"/>
      <c r="CH435" s="40"/>
      <c r="CI435" s="40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</row>
    <row r="436" spans="1:192">
      <c r="A436" s="900"/>
      <c r="B436" s="900"/>
      <c r="C436" s="900"/>
      <c r="D436" s="900"/>
      <c r="E436" s="900"/>
      <c r="F436" s="900"/>
      <c r="G436" s="158"/>
      <c r="H436" s="46"/>
      <c r="I436" s="53"/>
      <c r="J436" s="53"/>
      <c r="K436" s="171"/>
      <c r="L436" s="171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  <c r="BX436" s="40"/>
      <c r="BY436" s="40"/>
      <c r="BZ436" s="40"/>
      <c r="CA436" s="40"/>
      <c r="CB436" s="40"/>
      <c r="CC436" s="40"/>
      <c r="CD436" s="40"/>
      <c r="CE436" s="40"/>
      <c r="CF436" s="40"/>
      <c r="CG436" s="40"/>
      <c r="CH436" s="40"/>
      <c r="CI436" s="40"/>
      <c r="CJ436" s="40"/>
      <c r="CK436" s="40"/>
      <c r="CL436" s="40"/>
      <c r="CM436" s="40"/>
      <c r="CN436" s="40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/>
      <c r="EE436" s="40"/>
      <c r="EF436" s="40"/>
      <c r="EG436" s="40"/>
      <c r="EH436" s="40"/>
      <c r="EI436" s="40"/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</row>
    <row r="437" spans="1:192">
      <c r="A437" s="900"/>
      <c r="B437" s="900"/>
      <c r="C437" s="900"/>
      <c r="D437" s="900"/>
      <c r="E437" s="900"/>
      <c r="F437" s="900"/>
      <c r="G437" s="158"/>
      <c r="H437" s="46"/>
      <c r="I437" s="53"/>
      <c r="J437" s="53"/>
      <c r="K437" s="171"/>
      <c r="L437" s="171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  <c r="BZ437" s="40"/>
      <c r="CA437" s="40"/>
      <c r="CB437" s="40"/>
      <c r="CC437" s="40"/>
      <c r="CD437" s="40"/>
      <c r="CE437" s="40"/>
      <c r="CF437" s="40"/>
      <c r="CG437" s="40"/>
      <c r="CH437" s="40"/>
      <c r="CI437" s="40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</row>
    <row r="438" spans="1:192">
      <c r="A438" s="900"/>
      <c r="B438" s="900"/>
      <c r="C438" s="900"/>
      <c r="D438" s="900"/>
      <c r="E438" s="900"/>
      <c r="F438" s="900"/>
      <c r="G438" s="158"/>
      <c r="H438" s="46"/>
      <c r="I438" s="53"/>
      <c r="J438" s="53"/>
      <c r="K438" s="171"/>
      <c r="L438" s="171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</row>
    <row r="439" spans="1:192">
      <c r="A439" s="900"/>
      <c r="B439" s="900"/>
      <c r="C439" s="900"/>
      <c r="D439" s="900"/>
      <c r="E439" s="900"/>
      <c r="F439" s="900"/>
      <c r="G439" s="158"/>
      <c r="H439" s="46"/>
      <c r="I439" s="53"/>
      <c r="J439" s="53"/>
      <c r="K439" s="171"/>
      <c r="L439" s="171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  <c r="BX439" s="40"/>
      <c r="BY439" s="40"/>
      <c r="BZ439" s="40"/>
      <c r="CA439" s="40"/>
      <c r="CB439" s="40"/>
      <c r="CC439" s="40"/>
      <c r="CD439" s="40"/>
      <c r="CE439" s="40"/>
      <c r="CF439" s="40"/>
      <c r="CG439" s="40"/>
      <c r="CH439" s="40"/>
      <c r="CI439" s="40"/>
      <c r="CJ439" s="40"/>
      <c r="CK439" s="40"/>
      <c r="CL439" s="40"/>
      <c r="CM439" s="40"/>
      <c r="CN439" s="40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/>
      <c r="EE439" s="40"/>
      <c r="EF439" s="40"/>
      <c r="EG439" s="40"/>
      <c r="EH439" s="40"/>
      <c r="EI439" s="40"/>
      <c r="EJ439" s="40"/>
      <c r="EK439" s="40"/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</row>
    <row r="440" spans="1:192">
      <c r="A440" s="900"/>
      <c r="B440" s="900"/>
      <c r="C440" s="900"/>
      <c r="D440" s="900"/>
      <c r="E440" s="900"/>
      <c r="F440" s="900"/>
      <c r="G440" s="158"/>
      <c r="H440" s="46"/>
      <c r="I440" s="53"/>
      <c r="J440" s="53"/>
      <c r="K440" s="171"/>
      <c r="L440" s="171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  <c r="BX440" s="40"/>
      <c r="BY440" s="40"/>
      <c r="BZ440" s="40"/>
      <c r="CA440" s="40"/>
      <c r="CB440" s="40"/>
      <c r="CC440" s="40"/>
      <c r="CD440" s="40"/>
      <c r="CE440" s="40"/>
      <c r="CF440" s="40"/>
      <c r="CG440" s="40"/>
      <c r="CH440" s="40"/>
      <c r="CI440" s="40"/>
      <c r="CJ440" s="40"/>
      <c r="CK440" s="40"/>
      <c r="CL440" s="40"/>
      <c r="CM440" s="40"/>
      <c r="CN440" s="40"/>
      <c r="CO440" s="40"/>
      <c r="CP440" s="40"/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/>
      <c r="EE440" s="40"/>
      <c r="EF440" s="40"/>
      <c r="EG440" s="40"/>
      <c r="EH440" s="40"/>
      <c r="EI440" s="40"/>
      <c r="EJ440" s="40"/>
      <c r="EK440" s="40"/>
      <c r="EL440" s="40"/>
      <c r="EM440" s="40"/>
      <c r="EN440" s="40"/>
      <c r="EO440" s="40"/>
      <c r="EP440" s="40"/>
      <c r="EQ440" s="40"/>
      <c r="ER440" s="40"/>
      <c r="ES440" s="40"/>
      <c r="ET440" s="40"/>
      <c r="EU440" s="40"/>
      <c r="EV440" s="40"/>
      <c r="EW440" s="4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</row>
    <row r="441" spans="1:192">
      <c r="A441" s="900"/>
      <c r="B441" s="900"/>
      <c r="C441" s="900"/>
      <c r="D441" s="900"/>
      <c r="E441" s="900"/>
      <c r="F441" s="900"/>
      <c r="G441" s="158"/>
      <c r="H441" s="46"/>
      <c r="I441" s="53"/>
      <c r="J441" s="53"/>
      <c r="K441" s="171"/>
      <c r="L441" s="171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</row>
    <row r="442" spans="1:192">
      <c r="A442" s="900"/>
      <c r="B442" s="900"/>
      <c r="C442" s="900"/>
      <c r="D442" s="900"/>
      <c r="E442" s="900"/>
      <c r="F442" s="900"/>
      <c r="G442" s="158"/>
      <c r="H442" s="46"/>
      <c r="I442" s="53"/>
      <c r="J442" s="53"/>
      <c r="K442" s="171"/>
      <c r="L442" s="171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</row>
    <row r="443" spans="1:192">
      <c r="A443" s="900"/>
      <c r="B443" s="900"/>
      <c r="C443" s="900"/>
      <c r="D443" s="900"/>
      <c r="E443" s="900"/>
      <c r="F443" s="900"/>
      <c r="G443" s="158"/>
      <c r="H443" s="46"/>
      <c r="I443" s="53"/>
      <c r="J443" s="53"/>
      <c r="K443" s="171"/>
      <c r="L443" s="171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</row>
    <row r="444" spans="1:192">
      <c r="A444" s="900"/>
      <c r="B444" s="900"/>
      <c r="C444" s="900"/>
      <c r="D444" s="900"/>
      <c r="E444" s="900"/>
      <c r="F444" s="900"/>
      <c r="G444" s="158"/>
      <c r="H444" s="46"/>
      <c r="I444" s="53"/>
      <c r="J444" s="53"/>
      <c r="K444" s="171"/>
      <c r="L444" s="171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/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</row>
    <row r="445" spans="1:192">
      <c r="A445" s="900"/>
      <c r="B445" s="900"/>
      <c r="C445" s="900"/>
      <c r="D445" s="900"/>
      <c r="E445" s="900"/>
      <c r="F445" s="900"/>
      <c r="G445" s="158"/>
      <c r="H445" s="46"/>
      <c r="I445" s="53"/>
      <c r="J445" s="53"/>
      <c r="K445" s="171"/>
      <c r="L445" s="171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/>
      <c r="BY445" s="40"/>
      <c r="BZ445" s="40"/>
      <c r="CA445" s="40"/>
      <c r="CB445" s="40"/>
      <c r="CC445" s="40"/>
      <c r="CD445" s="40"/>
      <c r="CE445" s="40"/>
      <c r="CF445" s="40"/>
      <c r="CG445" s="40"/>
      <c r="CH445" s="40"/>
      <c r="CI445" s="40"/>
      <c r="CJ445" s="40"/>
      <c r="CK445" s="40"/>
      <c r="CL445" s="40"/>
      <c r="CM445" s="40"/>
      <c r="CN445" s="40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</row>
    <row r="446" spans="1:192">
      <c r="A446" s="900"/>
      <c r="B446" s="900"/>
      <c r="C446" s="900"/>
      <c r="D446" s="900"/>
      <c r="E446" s="900"/>
      <c r="F446" s="900"/>
      <c r="G446" s="158"/>
      <c r="H446" s="46"/>
      <c r="I446" s="53"/>
      <c r="J446" s="53"/>
      <c r="K446" s="171"/>
      <c r="L446" s="171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  <c r="BZ446" s="40"/>
      <c r="CA446" s="40"/>
      <c r="CB446" s="40"/>
      <c r="CC446" s="40"/>
      <c r="CD446" s="40"/>
      <c r="CE446" s="40"/>
      <c r="CF446" s="40"/>
      <c r="CG446" s="40"/>
      <c r="CH446" s="40"/>
      <c r="CI446" s="40"/>
      <c r="CJ446" s="40"/>
      <c r="CK446" s="40"/>
      <c r="CL446" s="40"/>
      <c r="CM446" s="40"/>
      <c r="CN446" s="40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</row>
    <row r="447" spans="1:192">
      <c r="A447" s="900"/>
      <c r="B447" s="900"/>
      <c r="C447" s="900"/>
      <c r="D447" s="900"/>
      <c r="E447" s="900"/>
      <c r="F447" s="900"/>
      <c r="G447" s="158"/>
      <c r="H447" s="46"/>
      <c r="I447" s="53"/>
      <c r="J447" s="53"/>
      <c r="K447" s="171"/>
      <c r="L447" s="171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</row>
    <row r="448" spans="1:192">
      <c r="A448" s="900"/>
      <c r="B448" s="900"/>
      <c r="C448" s="900"/>
      <c r="D448" s="900"/>
      <c r="E448" s="900"/>
      <c r="F448" s="900"/>
      <c r="G448" s="158"/>
      <c r="H448" s="46"/>
      <c r="I448" s="53"/>
      <c r="J448" s="53"/>
      <c r="K448" s="171"/>
      <c r="L448" s="171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  <c r="BZ448" s="40"/>
      <c r="CA448" s="40"/>
      <c r="CB448" s="40"/>
      <c r="CC448" s="40"/>
      <c r="CD448" s="40"/>
      <c r="CE448" s="40"/>
      <c r="CF448" s="40"/>
      <c r="CG448" s="40"/>
      <c r="CH448" s="40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</row>
    <row r="449" spans="1:192">
      <c r="A449" s="900"/>
      <c r="B449" s="900"/>
      <c r="C449" s="900"/>
      <c r="D449" s="900"/>
      <c r="E449" s="900"/>
      <c r="F449" s="900"/>
      <c r="G449" s="158"/>
      <c r="H449" s="46"/>
      <c r="I449" s="53"/>
      <c r="J449" s="53"/>
      <c r="K449" s="171"/>
      <c r="L449" s="171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</row>
    <row r="450" spans="1:192">
      <c r="A450" s="900"/>
      <c r="B450" s="900"/>
      <c r="C450" s="900"/>
      <c r="D450" s="900"/>
      <c r="E450" s="900"/>
      <c r="F450" s="900"/>
      <c r="G450" s="158"/>
      <c r="H450" s="46"/>
      <c r="I450" s="53"/>
      <c r="J450" s="53"/>
      <c r="K450" s="171"/>
      <c r="L450" s="171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</row>
    <row r="451" spans="1:192">
      <c r="A451" s="900"/>
      <c r="B451" s="900"/>
      <c r="C451" s="900"/>
      <c r="D451" s="900"/>
      <c r="E451" s="900"/>
      <c r="F451" s="900"/>
      <c r="G451" s="158"/>
      <c r="H451" s="46"/>
      <c r="I451" s="53"/>
      <c r="J451" s="53"/>
      <c r="K451" s="171"/>
      <c r="L451" s="171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  <c r="BW451" s="40"/>
      <c r="BX451" s="40"/>
      <c r="BY451" s="40"/>
      <c r="BZ451" s="40"/>
      <c r="CA451" s="40"/>
      <c r="CB451" s="40"/>
      <c r="CC451" s="40"/>
      <c r="CD451" s="40"/>
      <c r="CE451" s="40"/>
      <c r="CF451" s="40"/>
      <c r="CG451" s="40"/>
      <c r="CH451" s="40"/>
      <c r="CI451" s="40"/>
      <c r="CJ451" s="40"/>
      <c r="CK451" s="40"/>
      <c r="CL451" s="40"/>
      <c r="CM451" s="40"/>
      <c r="CN451" s="40"/>
      <c r="CO451" s="40"/>
      <c r="CP451" s="40"/>
      <c r="CQ451" s="40"/>
      <c r="CR451" s="40"/>
      <c r="CS451" s="40"/>
      <c r="CT451" s="40"/>
      <c r="CU451" s="40"/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/>
      <c r="EE451" s="40"/>
      <c r="EF451" s="40"/>
      <c r="EG451" s="40"/>
      <c r="EH451" s="40"/>
      <c r="EI451" s="40"/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</row>
    <row r="452" spans="1:192">
      <c r="A452" s="900"/>
      <c r="B452" s="900"/>
      <c r="C452" s="900"/>
      <c r="D452" s="900"/>
      <c r="E452" s="900"/>
      <c r="F452" s="900"/>
      <c r="G452" s="158"/>
      <c r="H452" s="46"/>
      <c r="I452" s="53"/>
      <c r="J452" s="53"/>
      <c r="K452" s="171"/>
      <c r="L452" s="171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  <c r="BW452" s="40"/>
      <c r="BX452" s="40"/>
      <c r="BY452" s="40"/>
      <c r="BZ452" s="40"/>
      <c r="CA452" s="40"/>
      <c r="CB452" s="40"/>
      <c r="CC452" s="40"/>
      <c r="CD452" s="40"/>
      <c r="CE452" s="40"/>
      <c r="CF452" s="40"/>
      <c r="CG452" s="40"/>
      <c r="CH452" s="40"/>
      <c r="CI452" s="40"/>
      <c r="CJ452" s="40"/>
      <c r="CK452" s="40"/>
      <c r="CL452" s="40"/>
      <c r="CM452" s="40"/>
      <c r="CN452" s="40"/>
      <c r="CO452" s="40"/>
      <c r="CP452" s="40"/>
      <c r="CQ452" s="40"/>
      <c r="CR452" s="40"/>
      <c r="CS452" s="40"/>
      <c r="CT452" s="40"/>
      <c r="CU452" s="40"/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/>
      <c r="EE452" s="40"/>
      <c r="EF452" s="40"/>
      <c r="EG452" s="40"/>
      <c r="EH452" s="40"/>
      <c r="EI452" s="40"/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</row>
    <row r="453" spans="1:192">
      <c r="A453" s="900"/>
      <c r="B453" s="900"/>
      <c r="C453" s="900"/>
      <c r="D453" s="900"/>
      <c r="E453" s="900"/>
      <c r="F453" s="900"/>
      <c r="G453" s="158"/>
      <c r="H453" s="46"/>
      <c r="I453" s="53"/>
      <c r="J453" s="53"/>
      <c r="K453" s="171"/>
      <c r="L453" s="171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</row>
    <row r="454" spans="1:192">
      <c r="A454" s="900"/>
      <c r="B454" s="900"/>
      <c r="C454" s="900"/>
      <c r="D454" s="900"/>
      <c r="E454" s="900"/>
      <c r="F454" s="900"/>
      <c r="G454" s="158"/>
      <c r="H454" s="46"/>
      <c r="I454" s="53"/>
      <c r="J454" s="53"/>
      <c r="K454" s="171"/>
      <c r="L454" s="171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</row>
    <row r="455" spans="1:192">
      <c r="A455" s="900"/>
      <c r="B455" s="900"/>
      <c r="C455" s="900"/>
      <c r="D455" s="900"/>
      <c r="E455" s="900"/>
      <c r="F455" s="900"/>
      <c r="G455" s="158"/>
      <c r="H455" s="46"/>
      <c r="I455" s="53"/>
      <c r="J455" s="53"/>
      <c r="K455" s="171"/>
      <c r="L455" s="171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</row>
    <row r="456" spans="1:192">
      <c r="A456" s="900"/>
      <c r="B456" s="900"/>
      <c r="C456" s="900"/>
      <c r="D456" s="900"/>
      <c r="E456" s="900"/>
      <c r="F456" s="900"/>
      <c r="G456" s="158"/>
      <c r="H456" s="46"/>
      <c r="I456" s="53"/>
      <c r="J456" s="53"/>
      <c r="K456" s="171"/>
      <c r="L456" s="171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</row>
    <row r="457" spans="1:192">
      <c r="A457" s="900"/>
      <c r="B457" s="900"/>
      <c r="C457" s="900"/>
      <c r="D457" s="900"/>
      <c r="E457" s="900"/>
      <c r="F457" s="900"/>
      <c r="G457" s="158"/>
      <c r="H457" s="46"/>
      <c r="I457" s="53"/>
      <c r="J457" s="53"/>
      <c r="K457" s="171"/>
      <c r="L457" s="171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</row>
    <row r="458" spans="1:192">
      <c r="A458" s="900"/>
      <c r="B458" s="900"/>
      <c r="C458" s="900"/>
      <c r="D458" s="900"/>
      <c r="E458" s="900"/>
      <c r="F458" s="900"/>
      <c r="G458" s="158"/>
      <c r="H458" s="46"/>
      <c r="I458" s="53"/>
      <c r="J458" s="53"/>
      <c r="K458" s="171"/>
      <c r="L458" s="171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</row>
    <row r="459" spans="1:192">
      <c r="A459" s="900"/>
      <c r="B459" s="900"/>
      <c r="C459" s="900"/>
      <c r="D459" s="900"/>
      <c r="E459" s="900"/>
      <c r="F459" s="900"/>
      <c r="G459" s="158"/>
      <c r="H459" s="46"/>
      <c r="I459" s="53"/>
      <c r="J459" s="53"/>
      <c r="K459" s="171"/>
      <c r="L459" s="171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</row>
    <row r="460" spans="1:192">
      <c r="A460" s="900"/>
      <c r="B460" s="900"/>
      <c r="C460" s="900"/>
      <c r="D460" s="900"/>
      <c r="E460" s="900"/>
      <c r="F460" s="900"/>
      <c r="G460" s="158"/>
      <c r="H460" s="46"/>
      <c r="I460" s="53"/>
      <c r="J460" s="53"/>
      <c r="K460" s="171"/>
      <c r="L460" s="171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</row>
    <row r="461" spans="1:192">
      <c r="A461" s="900"/>
      <c r="B461" s="900"/>
      <c r="C461" s="900"/>
      <c r="D461" s="900"/>
      <c r="E461" s="900"/>
      <c r="F461" s="900"/>
      <c r="G461" s="158"/>
      <c r="H461" s="46"/>
      <c r="I461" s="53"/>
      <c r="J461" s="53"/>
      <c r="K461" s="171"/>
      <c r="L461" s="171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</row>
    <row r="462" spans="1:192">
      <c r="A462" s="900"/>
      <c r="B462" s="900"/>
      <c r="C462" s="900"/>
      <c r="D462" s="900"/>
      <c r="E462" s="900"/>
      <c r="F462" s="900"/>
      <c r="G462" s="158"/>
      <c r="H462" s="46"/>
      <c r="I462" s="53"/>
      <c r="J462" s="53"/>
      <c r="K462" s="171"/>
      <c r="L462" s="171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</row>
    <row r="463" spans="1:192">
      <c r="A463" s="900"/>
      <c r="B463" s="900"/>
      <c r="C463" s="900"/>
      <c r="D463" s="900"/>
      <c r="E463" s="900"/>
      <c r="F463" s="900"/>
      <c r="G463" s="158"/>
      <c r="H463" s="46"/>
      <c r="I463" s="53"/>
      <c r="J463" s="53"/>
      <c r="K463" s="171"/>
      <c r="L463" s="171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  <c r="BX463" s="40"/>
      <c r="BY463" s="40"/>
      <c r="BZ463" s="40"/>
      <c r="CA463" s="40"/>
      <c r="CB463" s="40"/>
      <c r="CC463" s="40"/>
      <c r="CD463" s="40"/>
      <c r="CE463" s="40"/>
      <c r="CF463" s="40"/>
      <c r="CG463" s="40"/>
      <c r="CH463" s="40"/>
      <c r="CI463" s="40"/>
      <c r="CJ463" s="40"/>
      <c r="CK463" s="40"/>
      <c r="CL463" s="40"/>
      <c r="CM463" s="40"/>
      <c r="CN463" s="40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/>
      <c r="EE463" s="40"/>
      <c r="EF463" s="40"/>
      <c r="EG463" s="40"/>
      <c r="EH463" s="40"/>
      <c r="EI463" s="40"/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</row>
    <row r="464" spans="1:192">
      <c r="A464" s="900"/>
      <c r="B464" s="900"/>
      <c r="C464" s="900"/>
      <c r="D464" s="900"/>
      <c r="E464" s="900"/>
      <c r="F464" s="900"/>
      <c r="G464" s="158"/>
      <c r="H464" s="46"/>
      <c r="I464" s="53"/>
      <c r="J464" s="53"/>
      <c r="K464" s="171"/>
      <c r="L464" s="171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  <c r="BX464" s="40"/>
      <c r="BY464" s="40"/>
      <c r="BZ464" s="40"/>
      <c r="CA464" s="40"/>
      <c r="CB464" s="40"/>
      <c r="CC464" s="40"/>
      <c r="CD464" s="40"/>
      <c r="CE464" s="40"/>
      <c r="CF464" s="40"/>
      <c r="CG464" s="40"/>
      <c r="CH464" s="40"/>
      <c r="CI464" s="40"/>
      <c r="CJ464" s="40"/>
      <c r="CK464" s="40"/>
      <c r="CL464" s="40"/>
      <c r="CM464" s="40"/>
      <c r="CN464" s="40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/>
      <c r="EE464" s="40"/>
      <c r="EF464" s="40"/>
      <c r="EG464" s="40"/>
      <c r="EH464" s="40"/>
      <c r="EI464" s="40"/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</row>
    <row r="465" spans="1:192">
      <c r="A465" s="900"/>
      <c r="B465" s="900"/>
      <c r="C465" s="900"/>
      <c r="D465" s="900"/>
      <c r="E465" s="900"/>
      <c r="F465" s="900"/>
      <c r="G465" s="158"/>
      <c r="H465" s="46"/>
      <c r="I465" s="53"/>
      <c r="J465" s="53"/>
      <c r="K465" s="171"/>
      <c r="L465" s="171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</row>
    <row r="466" spans="1:192">
      <c r="A466" s="900"/>
      <c r="B466" s="900"/>
      <c r="C466" s="900"/>
      <c r="D466" s="900"/>
      <c r="E466" s="900"/>
      <c r="F466" s="900"/>
      <c r="G466" s="158"/>
      <c r="H466" s="46"/>
      <c r="I466" s="53"/>
      <c r="J466" s="53"/>
      <c r="K466" s="171"/>
      <c r="L466" s="171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  <c r="BX466" s="40"/>
      <c r="BY466" s="40"/>
      <c r="BZ466" s="40"/>
      <c r="CA466" s="40"/>
      <c r="CB466" s="40"/>
      <c r="CC466" s="40"/>
      <c r="CD466" s="40"/>
      <c r="CE466" s="40"/>
      <c r="CF466" s="40"/>
      <c r="CG466" s="40"/>
      <c r="CH466" s="40"/>
      <c r="CI466" s="40"/>
      <c r="CJ466" s="40"/>
      <c r="CK466" s="40"/>
      <c r="CL466" s="40"/>
      <c r="CM466" s="40"/>
      <c r="CN466" s="40"/>
      <c r="CO466" s="40"/>
      <c r="CP466" s="40"/>
      <c r="CQ466" s="40"/>
      <c r="CR466" s="40"/>
      <c r="CS466" s="40"/>
      <c r="CT466" s="40"/>
      <c r="CU466" s="40"/>
      <c r="CV466" s="40"/>
      <c r="CW466" s="40"/>
      <c r="CX466" s="40"/>
      <c r="CY466" s="40"/>
      <c r="CZ466" s="40"/>
      <c r="DA466" s="40"/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/>
      <c r="EG466" s="40"/>
      <c r="EH466" s="40"/>
      <c r="EI466" s="40"/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</row>
    <row r="467" spans="1:192">
      <c r="A467" s="900"/>
      <c r="B467" s="900"/>
      <c r="C467" s="900"/>
      <c r="D467" s="900"/>
      <c r="E467" s="900"/>
      <c r="F467" s="900"/>
      <c r="G467" s="158"/>
      <c r="H467" s="46"/>
      <c r="I467" s="53"/>
      <c r="J467" s="53"/>
      <c r="K467" s="171"/>
      <c r="L467" s="171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  <c r="BX467" s="40"/>
      <c r="BY467" s="40"/>
      <c r="BZ467" s="40"/>
      <c r="CA467" s="40"/>
      <c r="CB467" s="40"/>
      <c r="CC467" s="40"/>
      <c r="CD467" s="40"/>
      <c r="CE467" s="40"/>
      <c r="CF467" s="40"/>
      <c r="CG467" s="40"/>
      <c r="CH467" s="40"/>
      <c r="CI467" s="40"/>
      <c r="CJ467" s="40"/>
      <c r="CK467" s="40"/>
      <c r="CL467" s="40"/>
      <c r="CM467" s="40"/>
      <c r="CN467" s="40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/>
      <c r="EE467" s="40"/>
      <c r="EF467" s="40"/>
      <c r="EG467" s="40"/>
      <c r="EH467" s="40"/>
      <c r="EI467" s="40"/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</row>
    <row r="468" spans="1:192">
      <c r="A468" s="900"/>
      <c r="B468" s="900"/>
      <c r="C468" s="900"/>
      <c r="D468" s="900"/>
      <c r="E468" s="900"/>
      <c r="F468" s="900"/>
      <c r="G468" s="158"/>
      <c r="H468" s="46"/>
      <c r="I468" s="53"/>
      <c r="J468" s="53"/>
      <c r="K468" s="171"/>
      <c r="L468" s="171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</row>
    <row r="469" spans="1:192">
      <c r="A469" s="900"/>
      <c r="B469" s="900"/>
      <c r="C469" s="900"/>
      <c r="D469" s="900"/>
      <c r="E469" s="900"/>
      <c r="F469" s="900"/>
      <c r="G469" s="158"/>
      <c r="H469" s="46"/>
      <c r="I469" s="53"/>
      <c r="J469" s="53"/>
      <c r="K469" s="171"/>
      <c r="L469" s="171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  <c r="BZ469" s="40"/>
      <c r="CA469" s="40"/>
      <c r="CB469" s="40"/>
      <c r="CC469" s="40"/>
      <c r="CD469" s="40"/>
      <c r="CE469" s="40"/>
      <c r="CF469" s="40"/>
      <c r="CG469" s="40"/>
      <c r="CH469" s="40"/>
      <c r="CI469" s="40"/>
      <c r="CJ469" s="40"/>
      <c r="CK469" s="40"/>
      <c r="CL469" s="40"/>
      <c r="CM469" s="40"/>
      <c r="CN469" s="40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</row>
    <row r="470" spans="1:192">
      <c r="A470" s="900"/>
      <c r="B470" s="900"/>
      <c r="C470" s="900"/>
      <c r="D470" s="900"/>
      <c r="E470" s="900"/>
      <c r="F470" s="900"/>
      <c r="G470" s="158"/>
      <c r="H470" s="46"/>
      <c r="I470" s="53"/>
      <c r="J470" s="53"/>
      <c r="K470" s="171"/>
      <c r="L470" s="171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  <c r="BX470" s="40"/>
      <c r="BY470" s="40"/>
      <c r="BZ470" s="40"/>
      <c r="CA470" s="40"/>
      <c r="CB470" s="40"/>
      <c r="CC470" s="40"/>
      <c r="CD470" s="40"/>
      <c r="CE470" s="40"/>
      <c r="CF470" s="40"/>
      <c r="CG470" s="40"/>
      <c r="CH470" s="40"/>
      <c r="CI470" s="40"/>
      <c r="CJ470" s="40"/>
      <c r="CK470" s="40"/>
      <c r="CL470" s="40"/>
      <c r="CM470" s="40"/>
      <c r="CN470" s="40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/>
      <c r="EE470" s="40"/>
      <c r="EF470" s="40"/>
      <c r="EG470" s="40"/>
      <c r="EH470" s="40"/>
      <c r="EI470" s="40"/>
      <c r="EJ470" s="40"/>
      <c r="EK470" s="40"/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</row>
    <row r="471" spans="1:192">
      <c r="A471" s="900"/>
      <c r="B471" s="900"/>
      <c r="C471" s="900"/>
      <c r="D471" s="900"/>
      <c r="E471" s="900"/>
      <c r="F471" s="900"/>
      <c r="G471" s="158"/>
      <c r="H471" s="46"/>
      <c r="I471" s="53"/>
      <c r="J471" s="53"/>
      <c r="K471" s="171"/>
      <c r="L471" s="171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</row>
    <row r="472" spans="1:192">
      <c r="A472" s="900"/>
      <c r="B472" s="900"/>
      <c r="C472" s="900"/>
      <c r="D472" s="900"/>
      <c r="E472" s="900"/>
      <c r="F472" s="900"/>
      <c r="G472" s="158"/>
      <c r="H472" s="46"/>
      <c r="I472" s="53"/>
      <c r="J472" s="53"/>
      <c r="K472" s="171"/>
      <c r="L472" s="171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/>
      <c r="CK472" s="40"/>
      <c r="CL472" s="40"/>
      <c r="CM472" s="40"/>
      <c r="CN472" s="40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</row>
    <row r="473" spans="1:192">
      <c r="A473" s="900"/>
      <c r="B473" s="900"/>
      <c r="C473" s="900"/>
      <c r="D473" s="900"/>
      <c r="E473" s="900"/>
      <c r="F473" s="900"/>
      <c r="G473" s="158"/>
      <c r="H473" s="46"/>
      <c r="I473" s="53"/>
      <c r="J473" s="53"/>
      <c r="K473" s="171"/>
      <c r="L473" s="171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</row>
    <row r="474" spans="1:192">
      <c r="A474" s="900"/>
      <c r="B474" s="900"/>
      <c r="C474" s="900"/>
      <c r="D474" s="900"/>
      <c r="E474" s="900"/>
      <c r="F474" s="900"/>
      <c r="G474" s="158"/>
      <c r="H474" s="46"/>
      <c r="I474" s="53"/>
      <c r="J474" s="53"/>
      <c r="K474" s="171"/>
      <c r="L474" s="171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</row>
    <row r="475" spans="1:192">
      <c r="A475" s="900"/>
      <c r="B475" s="900"/>
      <c r="C475" s="900"/>
      <c r="D475" s="900"/>
      <c r="E475" s="900"/>
      <c r="F475" s="900"/>
      <c r="G475" s="158"/>
      <c r="H475" s="46"/>
      <c r="I475" s="53"/>
      <c r="J475" s="53"/>
      <c r="K475" s="171"/>
      <c r="L475" s="171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  <c r="BX475" s="40"/>
      <c r="BY475" s="40"/>
      <c r="BZ475" s="40"/>
      <c r="CA475" s="40"/>
      <c r="CB475" s="40"/>
      <c r="CC475" s="40"/>
      <c r="CD475" s="40"/>
      <c r="CE475" s="40"/>
      <c r="CF475" s="40"/>
      <c r="CG475" s="40"/>
      <c r="CH475" s="40"/>
      <c r="CI475" s="40"/>
      <c r="CJ475" s="40"/>
      <c r="CK475" s="40"/>
      <c r="CL475" s="40"/>
      <c r="CM475" s="40"/>
      <c r="CN475" s="40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/>
      <c r="EE475" s="40"/>
      <c r="EF475" s="40"/>
      <c r="EG475" s="40"/>
      <c r="EH475" s="40"/>
      <c r="EI475" s="40"/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</row>
    <row r="476" spans="1:192">
      <c r="A476" s="900"/>
      <c r="B476" s="900"/>
      <c r="C476" s="900"/>
      <c r="D476" s="900"/>
      <c r="E476" s="900"/>
      <c r="F476" s="900"/>
      <c r="G476" s="158"/>
      <c r="H476" s="46"/>
      <c r="I476" s="53"/>
      <c r="J476" s="53"/>
      <c r="K476" s="171"/>
      <c r="L476" s="171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  <c r="BZ476" s="40"/>
      <c r="CA476" s="40"/>
      <c r="CB476" s="40"/>
      <c r="CC476" s="40"/>
      <c r="CD476" s="40"/>
      <c r="CE476" s="40"/>
      <c r="CF476" s="40"/>
      <c r="CG476" s="40"/>
      <c r="CH476" s="40"/>
      <c r="CI476" s="40"/>
      <c r="CJ476" s="40"/>
      <c r="CK476" s="40"/>
      <c r="CL476" s="40"/>
      <c r="CM476" s="40"/>
      <c r="CN476" s="40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</row>
    <row r="477" spans="1:192">
      <c r="A477" s="900"/>
      <c r="B477" s="900"/>
      <c r="C477" s="900"/>
      <c r="D477" s="900"/>
      <c r="E477" s="900"/>
      <c r="F477" s="900"/>
      <c r="G477" s="158"/>
      <c r="H477" s="46"/>
      <c r="I477" s="53"/>
      <c r="J477" s="53"/>
      <c r="K477" s="171"/>
      <c r="L477" s="171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</row>
    <row r="478" spans="1:192">
      <c r="A478" s="900"/>
      <c r="B478" s="900"/>
      <c r="C478" s="900"/>
      <c r="D478" s="900"/>
      <c r="E478" s="900"/>
      <c r="F478" s="900"/>
      <c r="G478" s="158"/>
      <c r="H478" s="46"/>
      <c r="I478" s="53"/>
      <c r="J478" s="53"/>
      <c r="K478" s="171"/>
      <c r="L478" s="171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  <c r="BX478" s="40"/>
      <c r="BY478" s="40"/>
      <c r="BZ478" s="40"/>
      <c r="CA478" s="40"/>
      <c r="CB478" s="40"/>
      <c r="CC478" s="40"/>
      <c r="CD478" s="40"/>
      <c r="CE478" s="40"/>
      <c r="CF478" s="40"/>
      <c r="CG478" s="40"/>
      <c r="CH478" s="40"/>
      <c r="CI478" s="40"/>
      <c r="CJ478" s="40"/>
      <c r="CK478" s="40"/>
      <c r="CL478" s="40"/>
      <c r="CM478" s="40"/>
      <c r="CN478" s="40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/>
      <c r="EE478" s="40"/>
      <c r="EF478" s="40"/>
      <c r="EG478" s="40"/>
      <c r="EH478" s="40"/>
      <c r="EI478" s="40"/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</row>
    <row r="479" spans="1:192">
      <c r="A479" s="900"/>
      <c r="B479" s="900"/>
      <c r="C479" s="900"/>
      <c r="D479" s="900"/>
      <c r="E479" s="900"/>
      <c r="F479" s="900"/>
      <c r="G479" s="158"/>
      <c r="H479" s="46"/>
      <c r="I479" s="53"/>
      <c r="J479" s="53"/>
      <c r="K479" s="171"/>
      <c r="L479" s="171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  <c r="BX479" s="40"/>
      <c r="BY479" s="40"/>
      <c r="BZ479" s="40"/>
      <c r="CA479" s="40"/>
      <c r="CB479" s="40"/>
      <c r="CC479" s="40"/>
      <c r="CD479" s="40"/>
      <c r="CE479" s="40"/>
      <c r="CF479" s="40"/>
      <c r="CG479" s="40"/>
      <c r="CH479" s="40"/>
      <c r="CI479" s="40"/>
      <c r="CJ479" s="40"/>
      <c r="CK479" s="40"/>
      <c r="CL479" s="40"/>
      <c r="CM479" s="40"/>
      <c r="CN479" s="40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/>
      <c r="EE479" s="40"/>
      <c r="EF479" s="40"/>
      <c r="EG479" s="40"/>
      <c r="EH479" s="40"/>
      <c r="EI479" s="40"/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</row>
    <row r="480" spans="1:192">
      <c r="A480" s="900"/>
      <c r="B480" s="900"/>
      <c r="C480" s="900"/>
      <c r="D480" s="900"/>
      <c r="E480" s="900"/>
      <c r="F480" s="900"/>
      <c r="G480" s="158"/>
      <c r="H480" s="46"/>
      <c r="I480" s="53"/>
      <c r="J480" s="53"/>
      <c r="K480" s="171"/>
      <c r="L480" s="171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</row>
    <row r="481" spans="1:192">
      <c r="A481" s="900"/>
      <c r="B481" s="900"/>
      <c r="C481" s="900"/>
      <c r="D481" s="900"/>
      <c r="E481" s="900"/>
      <c r="F481" s="900"/>
      <c r="G481" s="158"/>
      <c r="H481" s="46"/>
      <c r="I481" s="53"/>
      <c r="J481" s="53"/>
      <c r="K481" s="171"/>
      <c r="L481" s="171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</row>
    <row r="482" spans="1:192">
      <c r="A482" s="900"/>
      <c r="B482" s="900"/>
      <c r="C482" s="900"/>
      <c r="D482" s="900"/>
      <c r="E482" s="900"/>
      <c r="F482" s="900"/>
      <c r="G482" s="158"/>
      <c r="H482" s="46"/>
      <c r="I482" s="53"/>
      <c r="J482" s="53"/>
      <c r="K482" s="171"/>
      <c r="L482" s="171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  <c r="BX482" s="40"/>
      <c r="BY482" s="40"/>
      <c r="BZ482" s="40"/>
      <c r="CA482" s="40"/>
      <c r="CB482" s="40"/>
      <c r="CC482" s="40"/>
      <c r="CD482" s="40"/>
      <c r="CE482" s="40"/>
      <c r="CF482" s="40"/>
      <c r="CG482" s="40"/>
      <c r="CH482" s="40"/>
      <c r="CI482" s="40"/>
      <c r="CJ482" s="40"/>
      <c r="CK482" s="40"/>
      <c r="CL482" s="40"/>
      <c r="CM482" s="40"/>
      <c r="CN482" s="40"/>
      <c r="CO482" s="40"/>
      <c r="CP482" s="40"/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/>
      <c r="EE482" s="40"/>
      <c r="EF482" s="40"/>
      <c r="EG482" s="40"/>
      <c r="EH482" s="40"/>
      <c r="EI482" s="40"/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</row>
    <row r="483" spans="1:192">
      <c r="A483" s="900"/>
      <c r="B483" s="900"/>
      <c r="C483" s="900"/>
      <c r="D483" s="900"/>
      <c r="E483" s="900"/>
      <c r="F483" s="900"/>
      <c r="G483" s="158"/>
      <c r="H483" s="46"/>
      <c r="I483" s="53"/>
      <c r="J483" s="53"/>
      <c r="K483" s="171"/>
      <c r="L483" s="171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  <c r="BZ483" s="40"/>
      <c r="CA483" s="40"/>
      <c r="CB483" s="40"/>
      <c r="CC483" s="40"/>
      <c r="CD483" s="40"/>
      <c r="CE483" s="40"/>
      <c r="CF483" s="40"/>
      <c r="CG483" s="40"/>
      <c r="CH483" s="40"/>
      <c r="CI483" s="40"/>
      <c r="CJ483" s="40"/>
      <c r="CK483" s="40"/>
      <c r="CL483" s="40"/>
      <c r="CM483" s="40"/>
      <c r="CN483" s="40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</row>
    <row r="484" spans="1:192">
      <c r="A484" s="900"/>
      <c r="B484" s="900"/>
      <c r="C484" s="900"/>
      <c r="D484" s="900"/>
      <c r="E484" s="900"/>
      <c r="F484" s="900"/>
      <c r="G484" s="158"/>
      <c r="H484" s="46"/>
      <c r="I484" s="53"/>
      <c r="J484" s="53"/>
      <c r="K484" s="171"/>
      <c r="L484" s="171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</row>
    <row r="485" spans="1:192">
      <c r="A485" s="900"/>
      <c r="B485" s="900"/>
      <c r="C485" s="900"/>
      <c r="D485" s="900"/>
      <c r="E485" s="900"/>
      <c r="F485" s="900"/>
      <c r="G485" s="158"/>
      <c r="H485" s="46"/>
      <c r="I485" s="53"/>
      <c r="J485" s="53"/>
      <c r="K485" s="171"/>
      <c r="L485" s="171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</row>
    <row r="486" spans="1:192">
      <c r="A486" s="900"/>
      <c r="B486" s="900"/>
      <c r="C486" s="900"/>
      <c r="D486" s="900"/>
      <c r="E486" s="900"/>
      <c r="F486" s="900"/>
      <c r="G486" s="158"/>
      <c r="H486" s="46"/>
      <c r="I486" s="53"/>
      <c r="J486" s="53"/>
      <c r="K486" s="171"/>
      <c r="L486" s="171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</row>
    <row r="487" spans="1:192">
      <c r="A487" s="900"/>
      <c r="B487" s="900"/>
      <c r="C487" s="900"/>
      <c r="D487" s="900"/>
      <c r="E487" s="900"/>
      <c r="F487" s="900"/>
      <c r="G487" s="158"/>
      <c r="H487" s="46"/>
      <c r="I487" s="53"/>
      <c r="J487" s="53"/>
      <c r="K487" s="171"/>
      <c r="L487" s="171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  <c r="BZ487" s="40"/>
      <c r="CA487" s="40"/>
      <c r="CB487" s="40"/>
      <c r="CC487" s="40"/>
      <c r="CD487" s="40"/>
      <c r="CE487" s="40"/>
      <c r="CF487" s="40"/>
      <c r="CG487" s="40"/>
      <c r="CH487" s="40"/>
      <c r="CI487" s="40"/>
      <c r="CJ487" s="40"/>
      <c r="CK487" s="40"/>
      <c r="CL487" s="40"/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</row>
    <row r="488" spans="1:192">
      <c r="A488" s="900"/>
      <c r="B488" s="900"/>
      <c r="C488" s="900"/>
      <c r="D488" s="900"/>
      <c r="E488" s="900"/>
      <c r="F488" s="900"/>
      <c r="G488" s="158"/>
      <c r="H488" s="46"/>
      <c r="I488" s="53"/>
      <c r="J488" s="53"/>
      <c r="K488" s="171"/>
      <c r="L488" s="171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/>
      <c r="BY488" s="40"/>
      <c r="BZ488" s="40"/>
      <c r="CA488" s="40"/>
      <c r="CB488" s="40"/>
      <c r="CC488" s="40"/>
      <c r="CD488" s="40"/>
      <c r="CE488" s="40"/>
      <c r="CF488" s="40"/>
      <c r="CG488" s="40"/>
      <c r="CH488" s="40"/>
      <c r="CI488" s="40"/>
      <c r="CJ488" s="40"/>
      <c r="CK488" s="40"/>
      <c r="CL488" s="40"/>
      <c r="CM488" s="40"/>
      <c r="CN488" s="40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</row>
    <row r="489" spans="1:192">
      <c r="A489" s="900"/>
      <c r="B489" s="900"/>
      <c r="C489" s="900"/>
      <c r="D489" s="900"/>
      <c r="E489" s="900"/>
      <c r="F489" s="900"/>
      <c r="G489" s="158"/>
      <c r="H489" s="46"/>
      <c r="I489" s="53"/>
      <c r="J489" s="53"/>
      <c r="K489" s="171"/>
      <c r="L489" s="171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</row>
    <row r="490" spans="1:192">
      <c r="A490" s="900"/>
      <c r="B490" s="900"/>
      <c r="C490" s="900"/>
      <c r="D490" s="900"/>
      <c r="E490" s="900"/>
      <c r="F490" s="900"/>
      <c r="G490" s="158"/>
      <c r="H490" s="46"/>
      <c r="I490" s="53"/>
      <c r="J490" s="53"/>
      <c r="K490" s="171"/>
      <c r="L490" s="171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  <c r="BZ490" s="40"/>
      <c r="CA490" s="40"/>
      <c r="CB490" s="40"/>
      <c r="CC490" s="40"/>
      <c r="CD490" s="40"/>
      <c r="CE490" s="40"/>
      <c r="CF490" s="40"/>
      <c r="CG490" s="40"/>
      <c r="CH490" s="40"/>
      <c r="CI490" s="40"/>
      <c r="CJ490" s="40"/>
      <c r="CK490" s="40"/>
      <c r="CL490" s="40"/>
      <c r="CM490" s="40"/>
      <c r="CN490" s="40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</row>
    <row r="491" spans="1:192">
      <c r="A491" s="900"/>
      <c r="B491" s="900"/>
      <c r="C491" s="900"/>
      <c r="D491" s="900"/>
      <c r="E491" s="900"/>
      <c r="F491" s="900"/>
      <c r="G491" s="158"/>
      <c r="H491" s="46"/>
      <c r="I491" s="53"/>
      <c r="J491" s="53"/>
      <c r="K491" s="171"/>
      <c r="L491" s="171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/>
      <c r="CB491" s="40"/>
      <c r="CC491" s="40"/>
      <c r="CD491" s="40"/>
      <c r="CE491" s="40"/>
      <c r="CF491" s="40"/>
      <c r="CG491" s="40"/>
      <c r="CH491" s="40"/>
      <c r="CI491" s="40"/>
      <c r="CJ491" s="40"/>
      <c r="CK491" s="40"/>
      <c r="CL491" s="40"/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</row>
    <row r="492" spans="1:192">
      <c r="A492" s="900"/>
      <c r="B492" s="900"/>
      <c r="C492" s="900"/>
      <c r="D492" s="900"/>
      <c r="E492" s="900"/>
      <c r="F492" s="900"/>
      <c r="G492" s="158"/>
      <c r="H492" s="46"/>
      <c r="I492" s="53"/>
      <c r="J492" s="53"/>
      <c r="K492" s="171"/>
      <c r="L492" s="171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</row>
    <row r="493" spans="1:192">
      <c r="A493" s="900"/>
      <c r="B493" s="900"/>
      <c r="C493" s="900"/>
      <c r="D493" s="900"/>
      <c r="E493" s="900"/>
      <c r="F493" s="900"/>
      <c r="G493" s="158"/>
      <c r="H493" s="46"/>
      <c r="I493" s="53"/>
      <c r="J493" s="53"/>
      <c r="K493" s="171"/>
      <c r="L493" s="171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</row>
    <row r="494" spans="1:192">
      <c r="A494" s="900"/>
      <c r="B494" s="900"/>
      <c r="C494" s="900"/>
      <c r="D494" s="900"/>
      <c r="E494" s="900"/>
      <c r="F494" s="900"/>
      <c r="G494" s="158"/>
      <c r="H494" s="46"/>
      <c r="I494" s="53"/>
      <c r="J494" s="53"/>
      <c r="K494" s="171"/>
      <c r="L494" s="171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</row>
    <row r="495" spans="1:192">
      <c r="A495" s="900"/>
      <c r="B495" s="900"/>
      <c r="C495" s="900"/>
      <c r="D495" s="900"/>
      <c r="E495" s="900"/>
      <c r="F495" s="900"/>
      <c r="G495" s="158"/>
      <c r="H495" s="46"/>
      <c r="I495" s="53"/>
      <c r="J495" s="53"/>
      <c r="K495" s="171"/>
      <c r="L495" s="171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</row>
    <row r="496" spans="1:192">
      <c r="A496" s="900"/>
      <c r="B496" s="900"/>
      <c r="C496" s="900"/>
      <c r="D496" s="900"/>
      <c r="E496" s="900"/>
      <c r="F496" s="900"/>
      <c r="G496" s="158"/>
      <c r="H496" s="46"/>
      <c r="I496" s="53"/>
      <c r="J496" s="53"/>
      <c r="K496" s="171"/>
      <c r="L496" s="171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</row>
    <row r="497" spans="1:192">
      <c r="A497" s="900"/>
      <c r="B497" s="900"/>
      <c r="C497" s="900"/>
      <c r="D497" s="900"/>
      <c r="E497" s="900"/>
      <c r="F497" s="900"/>
      <c r="G497" s="158"/>
      <c r="H497" s="46"/>
      <c r="I497" s="53"/>
      <c r="J497" s="53"/>
      <c r="K497" s="171"/>
      <c r="L497" s="171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</row>
    <row r="498" spans="1:192">
      <c r="A498" s="900"/>
      <c r="B498" s="900"/>
      <c r="C498" s="900"/>
      <c r="D498" s="900"/>
      <c r="E498" s="900"/>
      <c r="F498" s="900"/>
      <c r="G498" s="158"/>
      <c r="H498" s="46"/>
      <c r="I498" s="53"/>
      <c r="J498" s="53"/>
      <c r="K498" s="171"/>
      <c r="L498" s="171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</row>
    <row r="499" spans="1:192">
      <c r="A499" s="900"/>
      <c r="B499" s="900"/>
      <c r="C499" s="900"/>
      <c r="D499" s="900"/>
      <c r="E499" s="900"/>
      <c r="F499" s="900"/>
      <c r="G499" s="158"/>
      <c r="H499" s="46"/>
      <c r="I499" s="53"/>
      <c r="J499" s="53"/>
      <c r="K499" s="171"/>
      <c r="L499" s="171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</row>
    <row r="500" spans="1:192">
      <c r="A500" s="900"/>
      <c r="B500" s="900"/>
      <c r="C500" s="900"/>
      <c r="D500" s="900"/>
      <c r="E500" s="900"/>
      <c r="F500" s="900"/>
      <c r="G500" s="158"/>
      <c r="H500" s="46"/>
      <c r="I500" s="53"/>
      <c r="J500" s="53"/>
      <c r="K500" s="171"/>
      <c r="L500" s="171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  <c r="BZ500" s="40"/>
      <c r="CA500" s="40"/>
      <c r="CB500" s="40"/>
      <c r="CC500" s="40"/>
      <c r="CD500" s="40"/>
      <c r="CE500" s="40"/>
      <c r="CF500" s="40"/>
      <c r="CG500" s="40"/>
      <c r="CH500" s="40"/>
      <c r="CI500" s="40"/>
      <c r="CJ500" s="40"/>
      <c r="CK500" s="40"/>
      <c r="CL500" s="40"/>
      <c r="CM500" s="40"/>
      <c r="CN500" s="40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</row>
    <row r="501" spans="1:192">
      <c r="A501" s="900"/>
      <c r="B501" s="900"/>
      <c r="C501" s="900"/>
      <c r="D501" s="900"/>
      <c r="E501" s="900"/>
      <c r="F501" s="900"/>
      <c r="G501" s="158"/>
      <c r="H501" s="46"/>
      <c r="I501" s="53"/>
      <c r="J501" s="53"/>
      <c r="K501" s="171"/>
      <c r="L501" s="171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</row>
    <row r="502" spans="1:192">
      <c r="A502" s="900"/>
      <c r="B502" s="900"/>
      <c r="C502" s="900"/>
      <c r="D502" s="900"/>
      <c r="E502" s="900"/>
      <c r="F502" s="900"/>
      <c r="G502" s="158"/>
      <c r="H502" s="46"/>
      <c r="I502" s="53"/>
      <c r="J502" s="53"/>
      <c r="K502" s="171"/>
      <c r="L502" s="171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  <c r="BZ502" s="40"/>
      <c r="CA502" s="40"/>
      <c r="CB502" s="40"/>
      <c r="CC502" s="40"/>
      <c r="CD502" s="40"/>
      <c r="CE502" s="40"/>
      <c r="CF502" s="40"/>
      <c r="CG502" s="40"/>
      <c r="CH502" s="40"/>
      <c r="CI502" s="40"/>
      <c r="CJ502" s="40"/>
      <c r="CK502" s="40"/>
      <c r="CL502" s="40"/>
      <c r="CM502" s="40"/>
      <c r="CN502" s="40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</row>
    <row r="503" spans="1:192">
      <c r="A503" s="900"/>
      <c r="B503" s="900"/>
      <c r="C503" s="900"/>
      <c r="D503" s="900"/>
      <c r="E503" s="900"/>
      <c r="F503" s="900"/>
      <c r="G503" s="158"/>
      <c r="H503" s="46"/>
      <c r="I503" s="53"/>
      <c r="J503" s="53"/>
      <c r="K503" s="171"/>
      <c r="L503" s="171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</row>
    <row r="504" spans="1:192">
      <c r="A504" s="900"/>
      <c r="B504" s="900"/>
      <c r="C504" s="900"/>
      <c r="D504" s="900"/>
      <c r="E504" s="900"/>
      <c r="F504" s="900"/>
      <c r="G504" s="158"/>
      <c r="H504" s="46"/>
      <c r="I504" s="53"/>
      <c r="J504" s="53"/>
      <c r="K504" s="171"/>
      <c r="L504" s="171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</row>
    <row r="505" spans="1:192">
      <c r="A505" s="900"/>
      <c r="B505" s="900"/>
      <c r="C505" s="900"/>
      <c r="D505" s="900"/>
      <c r="E505" s="900"/>
      <c r="F505" s="900"/>
      <c r="G505" s="158"/>
      <c r="H505" s="46"/>
      <c r="I505" s="53"/>
      <c r="J505" s="53"/>
      <c r="K505" s="171"/>
      <c r="L505" s="171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</row>
    <row r="506" spans="1:192">
      <c r="A506" s="900"/>
      <c r="B506" s="900"/>
      <c r="C506" s="900"/>
      <c r="D506" s="900"/>
      <c r="E506" s="900"/>
      <c r="F506" s="900"/>
      <c r="G506" s="158"/>
      <c r="H506" s="46"/>
      <c r="I506" s="53"/>
      <c r="J506" s="53"/>
      <c r="K506" s="171"/>
      <c r="L506" s="171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  <c r="BZ506" s="40"/>
      <c r="CA506" s="40"/>
      <c r="CB506" s="40"/>
      <c r="CC506" s="40"/>
      <c r="CD506" s="40"/>
      <c r="CE506" s="40"/>
      <c r="CF506" s="40"/>
      <c r="CG506" s="40"/>
      <c r="CH506" s="40"/>
      <c r="CI506" s="40"/>
      <c r="CJ506" s="40"/>
      <c r="CK506" s="40"/>
      <c r="CL506" s="40"/>
      <c r="CM506" s="40"/>
      <c r="CN506" s="40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</row>
    <row r="507" spans="1:192">
      <c r="A507" s="900"/>
      <c r="B507" s="900"/>
      <c r="C507" s="900"/>
      <c r="D507" s="900"/>
      <c r="E507" s="900"/>
      <c r="F507" s="900"/>
      <c r="G507" s="158"/>
      <c r="H507" s="46"/>
      <c r="I507" s="53"/>
      <c r="J507" s="53"/>
      <c r="K507" s="171"/>
      <c r="L507" s="171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</row>
    <row r="508" spans="1:192">
      <c r="A508" s="900"/>
      <c r="B508" s="900"/>
      <c r="C508" s="900"/>
      <c r="D508" s="900"/>
      <c r="E508" s="900"/>
      <c r="F508" s="900"/>
      <c r="G508" s="158"/>
      <c r="H508" s="46"/>
      <c r="I508" s="53"/>
      <c r="J508" s="53"/>
      <c r="K508" s="171"/>
      <c r="L508" s="171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</row>
    <row r="509" spans="1:192">
      <c r="A509" s="900"/>
      <c r="B509" s="900"/>
      <c r="C509" s="900"/>
      <c r="D509" s="900"/>
      <c r="E509" s="900"/>
      <c r="F509" s="900"/>
      <c r="G509" s="158"/>
      <c r="H509" s="46"/>
      <c r="I509" s="53"/>
      <c r="J509" s="53"/>
      <c r="K509" s="171"/>
      <c r="L509" s="171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</row>
    <row r="510" spans="1:192">
      <c r="A510" s="900"/>
      <c r="B510" s="900"/>
      <c r="C510" s="900"/>
      <c r="D510" s="900"/>
      <c r="E510" s="900"/>
      <c r="F510" s="900"/>
      <c r="G510" s="158"/>
      <c r="H510" s="46"/>
      <c r="I510" s="53"/>
      <c r="J510" s="53"/>
      <c r="K510" s="171"/>
      <c r="L510" s="171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</row>
    <row r="511" spans="1:192">
      <c r="A511" s="900"/>
      <c r="B511" s="900"/>
      <c r="C511" s="900"/>
      <c r="D511" s="900"/>
      <c r="E511" s="900"/>
      <c r="F511" s="900"/>
      <c r="G511" s="158"/>
      <c r="H511" s="46"/>
      <c r="I511" s="53"/>
      <c r="J511" s="53"/>
      <c r="K511" s="171"/>
      <c r="L511" s="171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  <c r="BZ511" s="40"/>
      <c r="CA511" s="40"/>
      <c r="CB511" s="40"/>
      <c r="CC511" s="40"/>
      <c r="CD511" s="40"/>
      <c r="CE511" s="40"/>
      <c r="CF511" s="40"/>
      <c r="CG511" s="40"/>
      <c r="CH511" s="40"/>
      <c r="CI511" s="40"/>
      <c r="CJ511" s="40"/>
      <c r="CK511" s="40"/>
      <c r="CL511" s="40"/>
      <c r="CM511" s="40"/>
      <c r="CN511" s="40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</row>
    <row r="512" spans="1:192">
      <c r="A512" s="900"/>
      <c r="B512" s="900"/>
      <c r="C512" s="900"/>
      <c r="D512" s="900"/>
      <c r="E512" s="900"/>
      <c r="F512" s="900"/>
      <c r="G512" s="158"/>
      <c r="H512" s="46"/>
      <c r="I512" s="53"/>
      <c r="J512" s="53"/>
      <c r="K512" s="171"/>
      <c r="L512" s="171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  <c r="BZ512" s="40"/>
      <c r="CA512" s="40"/>
      <c r="CB512" s="40"/>
      <c r="CC512" s="40"/>
      <c r="CD512" s="40"/>
      <c r="CE512" s="40"/>
      <c r="CF512" s="40"/>
      <c r="CG512" s="40"/>
      <c r="CH512" s="40"/>
      <c r="CI512" s="40"/>
      <c r="CJ512" s="40"/>
      <c r="CK512" s="40"/>
      <c r="CL512" s="40"/>
      <c r="CM512" s="40"/>
      <c r="CN512" s="40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</row>
    <row r="513" spans="1:192">
      <c r="A513" s="900"/>
      <c r="B513" s="900"/>
      <c r="C513" s="900"/>
      <c r="D513" s="900"/>
      <c r="E513" s="900"/>
      <c r="F513" s="900"/>
      <c r="G513" s="158"/>
      <c r="H513" s="46"/>
      <c r="I513" s="53"/>
      <c r="J513" s="53"/>
      <c r="K513" s="171"/>
      <c r="L513" s="171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</row>
    <row r="514" spans="1:192">
      <c r="A514" s="900"/>
      <c r="B514" s="900"/>
      <c r="C514" s="900"/>
      <c r="D514" s="900"/>
      <c r="E514" s="900"/>
      <c r="F514" s="900"/>
      <c r="G514" s="158"/>
      <c r="H514" s="46"/>
      <c r="I514" s="53"/>
      <c r="J514" s="53"/>
      <c r="K514" s="171"/>
      <c r="L514" s="171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  <c r="BZ514" s="40"/>
      <c r="CA514" s="40"/>
      <c r="CB514" s="40"/>
      <c r="CC514" s="40"/>
      <c r="CD514" s="40"/>
      <c r="CE514" s="40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</row>
    <row r="515" spans="1:192">
      <c r="A515" s="900"/>
      <c r="B515" s="900"/>
      <c r="C515" s="900"/>
      <c r="D515" s="900"/>
      <c r="E515" s="900"/>
      <c r="F515" s="900"/>
      <c r="G515" s="158"/>
      <c r="H515" s="46"/>
      <c r="I515" s="53"/>
      <c r="J515" s="53"/>
      <c r="K515" s="171"/>
      <c r="L515" s="171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  <c r="BZ515" s="40"/>
      <c r="CA515" s="40"/>
      <c r="CB515" s="40"/>
      <c r="CC515" s="40"/>
      <c r="CD515" s="40"/>
      <c r="CE515" s="40"/>
      <c r="CF515" s="40"/>
      <c r="CG515" s="40"/>
      <c r="CH515" s="40"/>
      <c r="CI515" s="40"/>
      <c r="CJ515" s="40"/>
      <c r="CK515" s="40"/>
      <c r="CL515" s="40"/>
      <c r="CM515" s="40"/>
      <c r="CN515" s="40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</row>
    <row r="516" spans="1:192">
      <c r="A516" s="900"/>
      <c r="B516" s="900"/>
      <c r="C516" s="900"/>
      <c r="D516" s="900"/>
      <c r="E516" s="900"/>
      <c r="F516" s="900"/>
      <c r="G516" s="158"/>
      <c r="H516" s="46"/>
      <c r="I516" s="53"/>
      <c r="J516" s="53"/>
      <c r="K516" s="171"/>
      <c r="L516" s="171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</row>
    <row r="517" spans="1:192">
      <c r="A517" s="900"/>
      <c r="B517" s="900"/>
      <c r="C517" s="900"/>
      <c r="D517" s="900"/>
      <c r="E517" s="900"/>
      <c r="F517" s="900"/>
      <c r="G517" s="158"/>
      <c r="H517" s="46"/>
      <c r="I517" s="53"/>
      <c r="J517" s="53"/>
      <c r="K517" s="171"/>
      <c r="L517" s="171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/>
      <c r="CK517" s="40"/>
      <c r="CL517" s="40"/>
      <c r="CM517" s="40"/>
      <c r="CN517" s="40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</row>
    <row r="518" spans="1:192">
      <c r="A518" s="900"/>
      <c r="B518" s="900"/>
      <c r="C518" s="900"/>
      <c r="D518" s="900"/>
      <c r="E518" s="900"/>
      <c r="F518" s="900"/>
      <c r="G518" s="158"/>
      <c r="H518" s="46"/>
      <c r="I518" s="53"/>
      <c r="J518" s="53"/>
      <c r="K518" s="171"/>
      <c r="L518" s="171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  <c r="BZ518" s="40"/>
      <c r="CA518" s="40"/>
      <c r="CB518" s="40"/>
      <c r="CC518" s="40"/>
      <c r="CD518" s="40"/>
      <c r="CE518" s="40"/>
      <c r="CF518" s="40"/>
      <c r="CG518" s="40"/>
      <c r="CH518" s="40"/>
      <c r="CI518" s="40"/>
      <c r="CJ518" s="40"/>
      <c r="CK518" s="40"/>
      <c r="CL518" s="40"/>
      <c r="CM518" s="40"/>
      <c r="CN518" s="40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</row>
    <row r="519" spans="1:192">
      <c r="A519" s="900"/>
      <c r="B519" s="900"/>
      <c r="C519" s="900"/>
      <c r="D519" s="900"/>
      <c r="E519" s="900"/>
      <c r="F519" s="900"/>
      <c r="G519" s="158"/>
      <c r="H519" s="46"/>
      <c r="I519" s="53"/>
      <c r="J519" s="53"/>
      <c r="K519" s="171"/>
      <c r="L519" s="171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</row>
    <row r="520" spans="1:192">
      <c r="A520" s="900"/>
      <c r="B520" s="900"/>
      <c r="C520" s="900"/>
      <c r="D520" s="900"/>
      <c r="E520" s="900"/>
      <c r="F520" s="900"/>
      <c r="G520" s="158"/>
      <c r="H520" s="46"/>
      <c r="I520" s="53"/>
      <c r="J520" s="53"/>
      <c r="K520" s="171"/>
      <c r="L520" s="171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</row>
    <row r="521" spans="1:192">
      <c r="A521" s="900"/>
      <c r="B521" s="900"/>
      <c r="C521" s="900"/>
      <c r="D521" s="900"/>
      <c r="E521" s="900"/>
      <c r="F521" s="900"/>
      <c r="G521" s="158"/>
      <c r="H521" s="46"/>
      <c r="I521" s="53"/>
      <c r="J521" s="53"/>
      <c r="K521" s="171"/>
      <c r="L521" s="171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</row>
    <row r="522" spans="1:192">
      <c r="A522" s="900"/>
      <c r="B522" s="900"/>
      <c r="C522" s="900"/>
      <c r="D522" s="900"/>
      <c r="E522" s="900"/>
      <c r="F522" s="900"/>
      <c r="G522" s="158"/>
      <c r="H522" s="46"/>
      <c r="I522" s="53"/>
      <c r="J522" s="53"/>
      <c r="K522" s="171"/>
      <c r="L522" s="171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</row>
    <row r="523" spans="1:192">
      <c r="A523" s="900"/>
      <c r="B523" s="900"/>
      <c r="C523" s="900"/>
      <c r="D523" s="900"/>
      <c r="E523" s="900"/>
      <c r="F523" s="900"/>
      <c r="G523" s="158"/>
      <c r="H523" s="46"/>
      <c r="I523" s="53"/>
      <c r="J523" s="53"/>
      <c r="K523" s="171"/>
      <c r="L523" s="171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  <c r="BX523" s="40"/>
      <c r="BY523" s="40"/>
      <c r="BZ523" s="40"/>
      <c r="CA523" s="40"/>
      <c r="CB523" s="40"/>
      <c r="CC523" s="40"/>
      <c r="CD523" s="40"/>
      <c r="CE523" s="40"/>
      <c r="CF523" s="40"/>
      <c r="CG523" s="40"/>
      <c r="CH523" s="40"/>
      <c r="CI523" s="40"/>
      <c r="CJ523" s="40"/>
      <c r="CK523" s="40"/>
      <c r="CL523" s="40"/>
      <c r="CM523" s="40"/>
      <c r="CN523" s="40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</row>
    <row r="524" spans="1:192">
      <c r="A524" s="900"/>
      <c r="B524" s="900"/>
      <c r="C524" s="900"/>
      <c r="D524" s="900"/>
      <c r="E524" s="900"/>
      <c r="F524" s="900"/>
      <c r="G524" s="158"/>
      <c r="H524" s="46"/>
      <c r="I524" s="53"/>
      <c r="J524" s="53"/>
      <c r="K524" s="171"/>
      <c r="L524" s="171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  <c r="BX524" s="40"/>
      <c r="BY524" s="40"/>
      <c r="BZ524" s="40"/>
      <c r="CA524" s="40"/>
      <c r="CB524" s="40"/>
      <c r="CC524" s="40"/>
      <c r="CD524" s="40"/>
      <c r="CE524" s="40"/>
      <c r="CF524" s="40"/>
      <c r="CG524" s="40"/>
      <c r="CH524" s="40"/>
      <c r="CI524" s="40"/>
      <c r="CJ524" s="40"/>
      <c r="CK524" s="40"/>
      <c r="CL524" s="40"/>
      <c r="CM524" s="40"/>
      <c r="CN524" s="40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</row>
    <row r="525" spans="1:192">
      <c r="A525" s="900"/>
      <c r="B525" s="900"/>
      <c r="C525" s="900"/>
      <c r="D525" s="900"/>
      <c r="E525" s="900"/>
      <c r="F525" s="900"/>
      <c r="G525" s="158"/>
      <c r="H525" s="46"/>
      <c r="I525" s="53"/>
      <c r="J525" s="53"/>
      <c r="K525" s="171"/>
      <c r="L525" s="171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</row>
    <row r="526" spans="1:192">
      <c r="A526" s="900"/>
      <c r="B526" s="900"/>
      <c r="C526" s="900"/>
      <c r="D526" s="900"/>
      <c r="E526" s="900"/>
      <c r="F526" s="900"/>
      <c r="G526" s="158"/>
      <c r="H526" s="46"/>
      <c r="I526" s="53"/>
      <c r="J526" s="53"/>
      <c r="K526" s="171"/>
      <c r="L526" s="171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  <c r="BZ526" s="40"/>
      <c r="CA526" s="40"/>
      <c r="CB526" s="40"/>
      <c r="CC526" s="40"/>
      <c r="CD526" s="40"/>
      <c r="CE526" s="40"/>
      <c r="CF526" s="40"/>
      <c r="CG526" s="40"/>
      <c r="CH526" s="40"/>
      <c r="CI526" s="40"/>
      <c r="CJ526" s="40"/>
      <c r="CK526" s="40"/>
      <c r="CL526" s="40"/>
      <c r="CM526" s="40"/>
      <c r="CN526" s="40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</row>
    <row r="527" spans="1:192">
      <c r="A527" s="900"/>
      <c r="B527" s="900"/>
      <c r="C527" s="900"/>
      <c r="D527" s="900"/>
      <c r="E527" s="900"/>
      <c r="F527" s="900"/>
      <c r="G527" s="158"/>
      <c r="H527" s="46"/>
      <c r="I527" s="53"/>
      <c r="J527" s="53"/>
      <c r="K527" s="171"/>
      <c r="L527" s="171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  <c r="BZ527" s="40"/>
      <c r="CA527" s="40"/>
      <c r="CB527" s="40"/>
      <c r="CC527" s="40"/>
      <c r="CD527" s="40"/>
      <c r="CE527" s="40"/>
      <c r="CF527" s="40"/>
      <c r="CG527" s="40"/>
      <c r="CH527" s="40"/>
      <c r="CI527" s="40"/>
      <c r="CJ527" s="40"/>
      <c r="CK527" s="40"/>
      <c r="CL527" s="40"/>
      <c r="CM527" s="40"/>
      <c r="CN527" s="40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</row>
    <row r="528" spans="1:192">
      <c r="A528" s="900"/>
      <c r="B528" s="900"/>
      <c r="C528" s="900"/>
      <c r="D528" s="900"/>
      <c r="E528" s="900"/>
      <c r="F528" s="900"/>
      <c r="G528" s="158"/>
      <c r="H528" s="46"/>
      <c r="I528" s="53"/>
      <c r="J528" s="53"/>
      <c r="K528" s="171"/>
      <c r="L528" s="171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</row>
    <row r="529" spans="1:192">
      <c r="A529" s="900"/>
      <c r="B529" s="900"/>
      <c r="C529" s="900"/>
      <c r="D529" s="900"/>
      <c r="E529" s="900"/>
      <c r="F529" s="900"/>
      <c r="G529" s="158"/>
      <c r="H529" s="46"/>
      <c r="I529" s="53"/>
      <c r="J529" s="53"/>
      <c r="K529" s="171"/>
      <c r="L529" s="171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  <c r="BZ529" s="40"/>
      <c r="CA529" s="40"/>
      <c r="CB529" s="40"/>
      <c r="CC529" s="40"/>
      <c r="CD529" s="40"/>
      <c r="CE529" s="40"/>
      <c r="CF529" s="40"/>
      <c r="CG529" s="40"/>
      <c r="CH529" s="40"/>
      <c r="CI529" s="40"/>
      <c r="CJ529" s="40"/>
      <c r="CK529" s="40"/>
      <c r="CL529" s="40"/>
      <c r="CM529" s="40"/>
      <c r="CN529" s="40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</row>
    <row r="530" spans="1:192">
      <c r="A530" s="900"/>
      <c r="B530" s="900"/>
      <c r="C530" s="900"/>
      <c r="D530" s="900"/>
      <c r="E530" s="900"/>
      <c r="F530" s="900"/>
      <c r="G530" s="158"/>
      <c r="H530" s="46"/>
      <c r="I530" s="53"/>
      <c r="J530" s="53"/>
      <c r="K530" s="171"/>
      <c r="L530" s="171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  <c r="BX530" s="40"/>
      <c r="BY530" s="40"/>
      <c r="BZ530" s="40"/>
      <c r="CA530" s="40"/>
      <c r="CB530" s="40"/>
      <c r="CC530" s="40"/>
      <c r="CD530" s="40"/>
      <c r="CE530" s="40"/>
      <c r="CF530" s="40"/>
      <c r="CG530" s="40"/>
      <c r="CH530" s="40"/>
      <c r="CI530" s="40"/>
      <c r="CJ530" s="40"/>
      <c r="CK530" s="40"/>
      <c r="CL530" s="40"/>
      <c r="CM530" s="40"/>
      <c r="CN530" s="40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</row>
    <row r="531" spans="1:192">
      <c r="A531" s="900"/>
      <c r="B531" s="900"/>
      <c r="C531" s="900"/>
      <c r="D531" s="900"/>
      <c r="E531" s="900"/>
      <c r="F531" s="900"/>
      <c r="G531" s="158"/>
      <c r="H531" s="46"/>
      <c r="I531" s="53"/>
      <c r="J531" s="53"/>
      <c r="K531" s="171"/>
      <c r="L531" s="171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</row>
    <row r="532" spans="1:192">
      <c r="A532" s="900"/>
      <c r="B532" s="900"/>
      <c r="C532" s="900"/>
      <c r="D532" s="900"/>
      <c r="E532" s="900"/>
      <c r="F532" s="900"/>
      <c r="G532" s="158"/>
      <c r="H532" s="46"/>
      <c r="I532" s="53"/>
      <c r="J532" s="53"/>
      <c r="K532" s="171"/>
      <c r="L532" s="171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</row>
    <row r="533" spans="1:192">
      <c r="A533" s="900"/>
      <c r="B533" s="900"/>
      <c r="C533" s="900"/>
      <c r="D533" s="900"/>
      <c r="E533" s="900"/>
      <c r="F533" s="900"/>
      <c r="G533" s="158"/>
      <c r="H533" s="46"/>
      <c r="I533" s="53"/>
      <c r="J533" s="53"/>
      <c r="K533" s="171"/>
      <c r="L533" s="171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</row>
    <row r="534" spans="1:192">
      <c r="A534" s="900"/>
      <c r="B534" s="900"/>
      <c r="C534" s="900"/>
      <c r="D534" s="900"/>
      <c r="E534" s="900"/>
      <c r="F534" s="900"/>
      <c r="G534" s="158"/>
      <c r="H534" s="46"/>
      <c r="I534" s="53"/>
      <c r="J534" s="53"/>
      <c r="K534" s="171"/>
      <c r="L534" s="171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</row>
    <row r="535" spans="1:192">
      <c r="A535" s="900"/>
      <c r="B535" s="900"/>
      <c r="C535" s="900"/>
      <c r="D535" s="900"/>
      <c r="E535" s="900"/>
      <c r="F535" s="900"/>
      <c r="G535" s="158"/>
      <c r="H535" s="46"/>
      <c r="I535" s="53"/>
      <c r="J535" s="53"/>
      <c r="K535" s="171"/>
      <c r="L535" s="171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  <c r="BX535" s="40"/>
      <c r="BY535" s="40"/>
      <c r="BZ535" s="40"/>
      <c r="CA535" s="40"/>
      <c r="CB535" s="40"/>
      <c r="CC535" s="40"/>
      <c r="CD535" s="40"/>
      <c r="CE535" s="40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</row>
    <row r="536" spans="1:192">
      <c r="A536" s="900"/>
      <c r="B536" s="900"/>
      <c r="C536" s="900"/>
      <c r="D536" s="900"/>
      <c r="E536" s="900"/>
      <c r="F536" s="900"/>
      <c r="G536" s="158"/>
      <c r="H536" s="46"/>
      <c r="I536" s="53"/>
      <c r="J536" s="53"/>
      <c r="K536" s="171"/>
      <c r="L536" s="171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  <c r="BX536" s="40"/>
      <c r="BY536" s="40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</row>
    <row r="537" spans="1:192">
      <c r="A537" s="900"/>
      <c r="B537" s="900"/>
      <c r="C537" s="900"/>
      <c r="D537" s="900"/>
      <c r="E537" s="900"/>
      <c r="F537" s="900"/>
      <c r="G537" s="158"/>
      <c r="H537" s="46"/>
      <c r="I537" s="53"/>
      <c r="J537" s="53"/>
      <c r="K537" s="171"/>
      <c r="L537" s="171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</row>
    <row r="538" spans="1:192">
      <c r="A538" s="900"/>
      <c r="B538" s="900"/>
      <c r="C538" s="900"/>
      <c r="D538" s="900"/>
      <c r="E538" s="900"/>
      <c r="F538" s="900"/>
      <c r="G538" s="158"/>
      <c r="H538" s="46"/>
      <c r="I538" s="53"/>
      <c r="J538" s="53"/>
      <c r="K538" s="171"/>
      <c r="L538" s="171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  <c r="BX538" s="40"/>
      <c r="BY538" s="40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</row>
    <row r="539" spans="1:192">
      <c r="A539" s="900"/>
      <c r="B539" s="900"/>
      <c r="C539" s="900"/>
      <c r="D539" s="900"/>
      <c r="E539" s="900"/>
      <c r="F539" s="900"/>
      <c r="G539" s="158"/>
      <c r="H539" s="46"/>
      <c r="I539" s="53"/>
      <c r="J539" s="53"/>
      <c r="K539" s="171"/>
      <c r="L539" s="171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  <c r="BX539" s="40"/>
      <c r="BY539" s="40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</row>
    <row r="540" spans="1:192">
      <c r="A540" s="900"/>
      <c r="B540" s="900"/>
      <c r="C540" s="900"/>
      <c r="D540" s="900"/>
      <c r="E540" s="900"/>
      <c r="F540" s="900"/>
      <c r="G540" s="158"/>
      <c r="H540" s="46"/>
      <c r="I540" s="53"/>
      <c r="J540" s="53"/>
      <c r="K540" s="171"/>
      <c r="L540" s="171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</row>
    <row r="541" spans="1:192">
      <c r="A541" s="900"/>
      <c r="B541" s="900"/>
      <c r="C541" s="900"/>
      <c r="D541" s="900"/>
      <c r="E541" s="900"/>
      <c r="F541" s="900"/>
      <c r="G541" s="158"/>
      <c r="H541" s="46"/>
      <c r="I541" s="53"/>
      <c r="J541" s="53"/>
      <c r="K541" s="171"/>
      <c r="L541" s="171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</row>
    <row r="542" spans="1:192">
      <c r="A542" s="900"/>
      <c r="B542" s="900"/>
      <c r="C542" s="900"/>
      <c r="D542" s="900"/>
      <c r="E542" s="900"/>
      <c r="F542" s="900"/>
      <c r="G542" s="158"/>
      <c r="H542" s="46"/>
      <c r="I542" s="53"/>
      <c r="J542" s="53"/>
      <c r="K542" s="171"/>
      <c r="L542" s="171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  <c r="BX542" s="40"/>
      <c r="BY542" s="40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</row>
    <row r="543" spans="1:192">
      <c r="A543" s="900"/>
      <c r="B543" s="900"/>
      <c r="C543" s="900"/>
      <c r="D543" s="900"/>
      <c r="E543" s="900"/>
      <c r="F543" s="900"/>
      <c r="G543" s="158"/>
      <c r="H543" s="46"/>
      <c r="I543" s="53"/>
      <c r="J543" s="53"/>
      <c r="K543" s="171"/>
      <c r="L543" s="171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</row>
    <row r="544" spans="1:192">
      <c r="A544" s="900"/>
      <c r="B544" s="900"/>
      <c r="C544" s="900"/>
      <c r="D544" s="900"/>
      <c r="E544" s="900"/>
      <c r="F544" s="900"/>
      <c r="G544" s="158"/>
      <c r="H544" s="46"/>
      <c r="I544" s="53"/>
      <c r="J544" s="53"/>
      <c r="K544" s="171"/>
      <c r="L544" s="171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</row>
    <row r="545" spans="1:192">
      <c r="A545" s="900"/>
      <c r="B545" s="900"/>
      <c r="C545" s="900"/>
      <c r="D545" s="900"/>
      <c r="E545" s="900"/>
      <c r="F545" s="900"/>
      <c r="G545" s="158"/>
      <c r="H545" s="46"/>
      <c r="I545" s="53"/>
      <c r="J545" s="53"/>
      <c r="K545" s="171"/>
      <c r="L545" s="171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</row>
    <row r="546" spans="1:192">
      <c r="A546" s="900"/>
      <c r="B546" s="900"/>
      <c r="C546" s="900"/>
      <c r="D546" s="900"/>
      <c r="E546" s="900"/>
      <c r="F546" s="900"/>
      <c r="G546" s="158"/>
      <c r="H546" s="46"/>
      <c r="I546" s="53"/>
      <c r="J546" s="53"/>
      <c r="K546" s="171"/>
      <c r="L546" s="171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</row>
    <row r="547" spans="1:192">
      <c r="A547" s="900"/>
      <c r="B547" s="900"/>
      <c r="C547" s="900"/>
      <c r="D547" s="900"/>
      <c r="E547" s="900"/>
      <c r="F547" s="900"/>
      <c r="G547" s="158"/>
      <c r="H547" s="46"/>
      <c r="I547" s="53"/>
      <c r="J547" s="53"/>
      <c r="K547" s="171"/>
      <c r="L547" s="171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  <c r="BX547" s="40"/>
      <c r="BY547" s="40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</row>
    <row r="548" spans="1:192">
      <c r="A548" s="900"/>
      <c r="B548" s="900"/>
      <c r="C548" s="900"/>
      <c r="D548" s="900"/>
      <c r="E548" s="900"/>
      <c r="F548" s="900"/>
      <c r="G548" s="158"/>
      <c r="H548" s="46"/>
      <c r="I548" s="53"/>
      <c r="J548" s="53"/>
      <c r="K548" s="171"/>
      <c r="L548" s="171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  <c r="BX548" s="40"/>
      <c r="BY548" s="40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</row>
    <row r="549" spans="1:192">
      <c r="A549" s="900"/>
      <c r="B549" s="900"/>
      <c r="C549" s="900"/>
      <c r="D549" s="900"/>
      <c r="E549" s="900"/>
      <c r="F549" s="900"/>
      <c r="G549" s="158"/>
      <c r="H549" s="46"/>
      <c r="I549" s="53"/>
      <c r="J549" s="53"/>
      <c r="K549" s="171"/>
      <c r="L549" s="171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</row>
    <row r="550" spans="1:192">
      <c r="A550" s="900"/>
      <c r="B550" s="900"/>
      <c r="C550" s="900"/>
      <c r="D550" s="900"/>
      <c r="E550" s="900"/>
      <c r="F550" s="900"/>
      <c r="G550" s="158"/>
      <c r="H550" s="46"/>
      <c r="I550" s="53"/>
      <c r="J550" s="53"/>
      <c r="K550" s="171"/>
      <c r="L550" s="171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  <c r="BX550" s="40"/>
      <c r="BY550" s="40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</row>
    <row r="551" spans="1:192">
      <c r="A551" s="900"/>
      <c r="B551" s="900"/>
      <c r="C551" s="900"/>
      <c r="D551" s="900"/>
      <c r="E551" s="900"/>
      <c r="F551" s="900"/>
      <c r="G551" s="158"/>
      <c r="H551" s="46"/>
      <c r="I551" s="53"/>
      <c r="J551" s="53"/>
      <c r="K551" s="171"/>
      <c r="L551" s="171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  <c r="BX551" s="40"/>
      <c r="BY551" s="40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</row>
    <row r="552" spans="1:192">
      <c r="A552" s="900"/>
      <c r="B552" s="900"/>
      <c r="C552" s="900"/>
      <c r="D552" s="900"/>
      <c r="E552" s="900"/>
      <c r="F552" s="900"/>
      <c r="G552" s="158"/>
      <c r="H552" s="46"/>
      <c r="I552" s="53"/>
      <c r="J552" s="53"/>
      <c r="K552" s="171"/>
      <c r="L552" s="171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</row>
    <row r="553" spans="1:192">
      <c r="A553" s="900"/>
      <c r="B553" s="900"/>
      <c r="C553" s="900"/>
      <c r="D553" s="900"/>
      <c r="E553" s="900"/>
      <c r="F553" s="900"/>
      <c r="G553" s="158"/>
      <c r="H553" s="46"/>
      <c r="I553" s="53"/>
      <c r="J553" s="53"/>
      <c r="K553" s="171"/>
      <c r="L553" s="171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</row>
    <row r="554" spans="1:192">
      <c r="A554" s="900"/>
      <c r="B554" s="900"/>
      <c r="C554" s="900"/>
      <c r="D554" s="900"/>
      <c r="E554" s="900"/>
      <c r="F554" s="900"/>
      <c r="G554" s="158"/>
      <c r="H554" s="46"/>
      <c r="I554" s="53"/>
      <c r="J554" s="53"/>
      <c r="K554" s="171"/>
      <c r="L554" s="171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  <c r="BX554" s="40"/>
      <c r="BY554" s="40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</row>
    <row r="555" spans="1:192">
      <c r="A555" s="900"/>
      <c r="B555" s="900"/>
      <c r="C555" s="900"/>
      <c r="D555" s="900"/>
      <c r="E555" s="900"/>
      <c r="F555" s="900"/>
      <c r="G555" s="158"/>
      <c r="H555" s="46"/>
      <c r="I555" s="53"/>
      <c r="J555" s="53"/>
      <c r="K555" s="171"/>
      <c r="L555" s="171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</row>
    <row r="556" spans="1:192">
      <c r="A556" s="900"/>
      <c r="B556" s="900"/>
      <c r="C556" s="900"/>
      <c r="D556" s="900"/>
      <c r="E556" s="900"/>
      <c r="F556" s="900"/>
      <c r="G556" s="158"/>
      <c r="H556" s="46"/>
      <c r="I556" s="53"/>
      <c r="J556" s="53"/>
      <c r="K556" s="171"/>
      <c r="L556" s="171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</row>
    <row r="557" spans="1:192">
      <c r="A557" s="900"/>
      <c r="B557" s="900"/>
      <c r="C557" s="900"/>
      <c r="D557" s="900"/>
      <c r="E557" s="900"/>
      <c r="F557" s="900"/>
      <c r="G557" s="158"/>
      <c r="H557" s="46"/>
      <c r="I557" s="53"/>
      <c r="J557" s="53"/>
      <c r="K557" s="171"/>
      <c r="L557" s="171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</row>
    <row r="558" spans="1:192">
      <c r="A558" s="900"/>
      <c r="B558" s="900"/>
      <c r="C558" s="900"/>
      <c r="D558" s="900"/>
      <c r="E558" s="900"/>
      <c r="F558" s="900"/>
      <c r="G558" s="158"/>
      <c r="H558" s="46"/>
      <c r="I558" s="53"/>
      <c r="J558" s="53"/>
      <c r="K558" s="171"/>
      <c r="L558" s="171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</row>
    <row r="559" spans="1:192">
      <c r="A559" s="900"/>
      <c r="B559" s="900"/>
      <c r="C559" s="900"/>
      <c r="D559" s="900"/>
      <c r="E559" s="900"/>
      <c r="F559" s="900"/>
      <c r="G559" s="158"/>
      <c r="H559" s="46"/>
      <c r="I559" s="53"/>
      <c r="J559" s="53"/>
      <c r="K559" s="171"/>
      <c r="L559" s="171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</row>
    <row r="560" spans="1:192">
      <c r="A560" s="900"/>
      <c r="B560" s="900"/>
      <c r="C560" s="900"/>
      <c r="D560" s="900"/>
      <c r="E560" s="900"/>
      <c r="F560" s="900"/>
      <c r="G560" s="158"/>
      <c r="H560" s="46"/>
      <c r="I560" s="53"/>
      <c r="J560" s="53"/>
      <c r="K560" s="171"/>
      <c r="L560" s="171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</row>
    <row r="561" spans="1:192">
      <c r="A561" s="900"/>
      <c r="B561" s="900"/>
      <c r="C561" s="900"/>
      <c r="D561" s="900"/>
      <c r="E561" s="900"/>
      <c r="F561" s="900"/>
      <c r="G561" s="158"/>
      <c r="H561" s="46"/>
      <c r="I561" s="53"/>
      <c r="J561" s="53"/>
      <c r="K561" s="171"/>
      <c r="L561" s="171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</row>
    <row r="562" spans="1:192">
      <c r="A562" s="900"/>
      <c r="B562" s="900"/>
      <c r="C562" s="900"/>
      <c r="D562" s="900"/>
      <c r="E562" s="900"/>
      <c r="F562" s="900"/>
      <c r="G562" s="158"/>
      <c r="H562" s="46"/>
      <c r="I562" s="53"/>
      <c r="J562" s="53"/>
      <c r="K562" s="171"/>
      <c r="L562" s="171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</row>
    <row r="563" spans="1:192">
      <c r="A563" s="900"/>
      <c r="B563" s="900"/>
      <c r="C563" s="900"/>
      <c r="D563" s="900"/>
      <c r="E563" s="900"/>
      <c r="F563" s="900"/>
      <c r="G563" s="158"/>
      <c r="H563" s="46"/>
      <c r="I563" s="53"/>
      <c r="J563" s="53"/>
      <c r="K563" s="171"/>
      <c r="L563" s="171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</row>
    <row r="564" spans="1:192">
      <c r="A564" s="900"/>
      <c r="B564" s="900"/>
      <c r="C564" s="900"/>
      <c r="D564" s="900"/>
      <c r="E564" s="900"/>
      <c r="F564" s="900"/>
      <c r="G564" s="158"/>
      <c r="H564" s="46"/>
      <c r="I564" s="53"/>
      <c r="J564" s="53"/>
      <c r="K564" s="171"/>
      <c r="L564" s="171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</row>
    <row r="565" spans="1:192">
      <c r="A565" s="900"/>
      <c r="B565" s="900"/>
      <c r="C565" s="900"/>
      <c r="D565" s="900"/>
      <c r="E565" s="900"/>
      <c r="F565" s="900"/>
      <c r="G565" s="158"/>
      <c r="H565" s="46"/>
      <c r="I565" s="53"/>
      <c r="J565" s="53"/>
      <c r="K565" s="171"/>
      <c r="L565" s="171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</row>
    <row r="566" spans="1:192">
      <c r="A566" s="900"/>
      <c r="B566" s="900"/>
      <c r="C566" s="900"/>
      <c r="D566" s="900"/>
      <c r="E566" s="900"/>
      <c r="F566" s="900"/>
      <c r="G566" s="158"/>
      <c r="H566" s="46"/>
      <c r="I566" s="53"/>
      <c r="J566" s="53"/>
      <c r="K566" s="171"/>
      <c r="L566" s="171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</row>
    <row r="567" spans="1:192">
      <c r="A567" s="900"/>
      <c r="B567" s="900"/>
      <c r="C567" s="900"/>
      <c r="D567" s="900"/>
      <c r="E567" s="900"/>
      <c r="F567" s="900"/>
      <c r="G567" s="158"/>
      <c r="H567" s="46"/>
      <c r="I567" s="53"/>
      <c r="J567" s="53"/>
      <c r="K567" s="171"/>
      <c r="L567" s="171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</row>
    <row r="568" spans="1:192">
      <c r="A568" s="900"/>
      <c r="B568" s="900"/>
      <c r="C568" s="900"/>
      <c r="D568" s="900"/>
      <c r="E568" s="900"/>
      <c r="F568" s="900"/>
      <c r="G568" s="158"/>
      <c r="H568" s="46"/>
      <c r="I568" s="53"/>
      <c r="J568" s="53"/>
      <c r="K568" s="171"/>
      <c r="L568" s="171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</row>
    <row r="569" spans="1:192">
      <c r="A569" s="900"/>
      <c r="B569" s="900"/>
      <c r="C569" s="900"/>
      <c r="D569" s="900"/>
      <c r="E569" s="900"/>
      <c r="F569" s="900"/>
      <c r="G569" s="158"/>
      <c r="H569" s="46"/>
      <c r="I569" s="53"/>
      <c r="J569" s="53"/>
      <c r="K569" s="171"/>
      <c r="L569" s="171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</row>
    <row r="570" spans="1:192">
      <c r="A570" s="900"/>
      <c r="B570" s="900"/>
      <c r="C570" s="900"/>
      <c r="D570" s="900"/>
      <c r="E570" s="900"/>
      <c r="F570" s="900"/>
      <c r="G570" s="158"/>
      <c r="H570" s="46"/>
      <c r="I570" s="53"/>
      <c r="J570" s="53"/>
      <c r="K570" s="171"/>
      <c r="L570" s="171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</row>
    <row r="571" spans="1:192">
      <c r="A571" s="900"/>
      <c r="B571" s="900"/>
      <c r="C571" s="900"/>
      <c r="D571" s="900"/>
      <c r="E571" s="900"/>
      <c r="F571" s="900"/>
      <c r="G571" s="158"/>
      <c r="H571" s="46"/>
      <c r="I571" s="53"/>
      <c r="J571" s="53"/>
      <c r="K571" s="171"/>
      <c r="L571" s="171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</row>
    <row r="572" spans="1:192">
      <c r="A572" s="900"/>
      <c r="B572" s="900"/>
      <c r="C572" s="900"/>
      <c r="D572" s="900"/>
      <c r="E572" s="900"/>
      <c r="F572" s="900"/>
      <c r="G572" s="158"/>
      <c r="H572" s="46"/>
      <c r="I572" s="53"/>
      <c r="J572" s="53"/>
      <c r="K572" s="171"/>
      <c r="L572" s="171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</row>
    <row r="573" spans="1:192">
      <c r="A573" s="900"/>
      <c r="B573" s="900"/>
      <c r="C573" s="900"/>
      <c r="D573" s="900"/>
      <c r="E573" s="900"/>
      <c r="F573" s="900"/>
      <c r="G573" s="158"/>
      <c r="H573" s="46"/>
      <c r="I573" s="53"/>
      <c r="J573" s="53"/>
      <c r="K573" s="171"/>
      <c r="L573" s="171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</row>
    <row r="574" spans="1:192">
      <c r="A574" s="900"/>
      <c r="B574" s="900"/>
      <c r="C574" s="900"/>
      <c r="D574" s="900"/>
      <c r="E574" s="900"/>
      <c r="F574" s="900"/>
      <c r="G574" s="158"/>
      <c r="H574" s="46"/>
      <c r="I574" s="53"/>
      <c r="J574" s="53"/>
      <c r="K574" s="171"/>
      <c r="L574" s="171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</row>
    <row r="575" spans="1:192">
      <c r="A575" s="900"/>
      <c r="B575" s="900"/>
      <c r="C575" s="900"/>
      <c r="D575" s="900"/>
      <c r="E575" s="900"/>
      <c r="F575" s="900"/>
      <c r="G575" s="158"/>
      <c r="H575" s="46"/>
      <c r="I575" s="53"/>
      <c r="J575" s="53"/>
      <c r="K575" s="171"/>
      <c r="L575" s="171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</row>
    <row r="576" spans="1:192">
      <c r="A576" s="900"/>
      <c r="B576" s="900"/>
      <c r="C576" s="900"/>
      <c r="D576" s="900"/>
      <c r="E576" s="900"/>
      <c r="F576" s="900"/>
      <c r="G576" s="158"/>
      <c r="H576" s="46"/>
      <c r="I576" s="53"/>
      <c r="J576" s="53"/>
      <c r="K576" s="171"/>
      <c r="L576" s="171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</row>
    <row r="577" spans="1:192">
      <c r="A577" s="900"/>
      <c r="B577" s="900"/>
      <c r="C577" s="900"/>
      <c r="D577" s="900"/>
      <c r="E577" s="900"/>
      <c r="F577" s="900"/>
      <c r="G577" s="158"/>
      <c r="H577" s="46"/>
      <c r="I577" s="53"/>
      <c r="J577" s="53"/>
      <c r="K577" s="171"/>
      <c r="L577" s="171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</row>
    <row r="578" spans="1:192">
      <c r="A578" s="900"/>
      <c r="B578" s="900"/>
      <c r="C578" s="900"/>
      <c r="D578" s="900"/>
      <c r="E578" s="900"/>
      <c r="F578" s="900"/>
      <c r="G578" s="158"/>
      <c r="H578" s="46"/>
      <c r="I578" s="53"/>
      <c r="J578" s="53"/>
      <c r="K578" s="171"/>
      <c r="L578" s="171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</row>
    <row r="579" spans="1:192">
      <c r="A579" s="900"/>
      <c r="B579" s="900"/>
      <c r="C579" s="900"/>
      <c r="D579" s="900"/>
      <c r="E579" s="900"/>
      <c r="F579" s="900"/>
      <c r="G579" s="158"/>
      <c r="H579" s="46"/>
      <c r="I579" s="53"/>
      <c r="J579" s="53"/>
      <c r="K579" s="171"/>
      <c r="L579" s="171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</row>
    <row r="580" spans="1:192">
      <c r="A580" s="900"/>
      <c r="B580" s="900"/>
      <c r="C580" s="900"/>
      <c r="D580" s="900"/>
      <c r="E580" s="900"/>
      <c r="F580" s="900"/>
      <c r="G580" s="158"/>
      <c r="H580" s="46"/>
      <c r="I580" s="53"/>
      <c r="J580" s="53"/>
      <c r="K580" s="171"/>
      <c r="L580" s="171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</row>
    <row r="581" spans="1:192">
      <c r="A581" s="900"/>
      <c r="B581" s="900"/>
      <c r="C581" s="900"/>
      <c r="D581" s="900"/>
      <c r="E581" s="900"/>
      <c r="F581" s="900"/>
      <c r="G581" s="158"/>
      <c r="H581" s="46"/>
      <c r="I581" s="53"/>
      <c r="J581" s="53"/>
      <c r="K581" s="171"/>
      <c r="L581" s="171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</row>
    <row r="582" spans="1:192">
      <c r="A582" s="900"/>
      <c r="B582" s="900"/>
      <c r="C582" s="900"/>
      <c r="D582" s="900"/>
      <c r="E582" s="900"/>
      <c r="F582" s="900"/>
      <c r="G582" s="158"/>
      <c r="H582" s="46"/>
      <c r="I582" s="53"/>
      <c r="J582" s="53"/>
      <c r="K582" s="171"/>
      <c r="L582" s="171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</row>
    <row r="583" spans="1:192">
      <c r="A583" s="900"/>
      <c r="B583" s="900"/>
      <c r="C583" s="900"/>
      <c r="D583" s="900"/>
      <c r="E583" s="900"/>
      <c r="F583" s="900"/>
      <c r="G583" s="158"/>
      <c r="H583" s="46"/>
      <c r="I583" s="53"/>
      <c r="J583" s="53"/>
      <c r="K583" s="171"/>
      <c r="L583" s="171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</row>
    <row r="584" spans="1:192">
      <c r="A584" s="900"/>
      <c r="B584" s="900"/>
      <c r="C584" s="900"/>
      <c r="D584" s="900"/>
      <c r="E584" s="900"/>
      <c r="F584" s="900"/>
      <c r="G584" s="158"/>
      <c r="H584" s="46"/>
      <c r="I584" s="53"/>
      <c r="J584" s="53"/>
      <c r="K584" s="171"/>
      <c r="L584" s="171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</row>
    <row r="585" spans="1:192">
      <c r="A585" s="900"/>
      <c r="B585" s="900"/>
      <c r="C585" s="900"/>
      <c r="D585" s="900"/>
      <c r="E585" s="900"/>
      <c r="F585" s="900"/>
      <c r="G585" s="158"/>
      <c r="H585" s="46"/>
      <c r="I585" s="53"/>
      <c r="J585" s="53"/>
      <c r="K585" s="171"/>
      <c r="L585" s="171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</row>
    <row r="586" spans="1:192">
      <c r="A586" s="900"/>
      <c r="B586" s="900"/>
      <c r="C586" s="900"/>
      <c r="D586" s="900"/>
      <c r="E586" s="900"/>
      <c r="F586" s="900"/>
      <c r="G586" s="158"/>
      <c r="H586" s="46"/>
      <c r="I586" s="53"/>
      <c r="J586" s="53"/>
      <c r="K586" s="171"/>
      <c r="L586" s="171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</row>
    <row r="587" spans="1:192">
      <c r="A587" s="900"/>
      <c r="B587" s="900"/>
      <c r="C587" s="900"/>
      <c r="D587" s="900"/>
      <c r="E587" s="900"/>
      <c r="F587" s="900"/>
      <c r="G587" s="158"/>
      <c r="H587" s="46"/>
      <c r="I587" s="53"/>
      <c r="J587" s="53"/>
      <c r="K587" s="171"/>
      <c r="L587" s="171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</row>
    <row r="588" spans="1:192">
      <c r="A588" s="900"/>
      <c r="B588" s="900"/>
      <c r="C588" s="900"/>
      <c r="D588" s="900"/>
      <c r="E588" s="900"/>
      <c r="F588" s="900"/>
      <c r="G588" s="158"/>
      <c r="H588" s="46"/>
      <c r="I588" s="53"/>
      <c r="J588" s="53"/>
      <c r="K588" s="171"/>
      <c r="L588" s="171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</row>
    <row r="589" spans="1:192">
      <c r="A589" s="900"/>
      <c r="B589" s="900"/>
      <c r="C589" s="900"/>
      <c r="D589" s="900"/>
      <c r="E589" s="900"/>
      <c r="F589" s="900"/>
      <c r="G589" s="158"/>
      <c r="H589" s="46"/>
      <c r="I589" s="53"/>
      <c r="J589" s="53"/>
      <c r="K589" s="171"/>
      <c r="L589" s="171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</row>
    <row r="590" spans="1:192">
      <c r="A590" s="900"/>
      <c r="B590" s="900"/>
      <c r="C590" s="900"/>
      <c r="D590" s="900"/>
      <c r="E590" s="900"/>
      <c r="F590" s="900"/>
      <c r="G590" s="158"/>
      <c r="H590" s="46"/>
      <c r="I590" s="53"/>
      <c r="J590" s="53"/>
      <c r="K590" s="171"/>
      <c r="L590" s="171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</row>
    <row r="591" spans="1:192">
      <c r="A591" s="900"/>
      <c r="B591" s="900"/>
      <c r="C591" s="900"/>
      <c r="D591" s="900"/>
      <c r="E591" s="900"/>
      <c r="F591" s="900"/>
      <c r="G591" s="158"/>
      <c r="H591" s="46"/>
      <c r="I591" s="53"/>
      <c r="J591" s="53"/>
      <c r="K591" s="171"/>
      <c r="L591" s="171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</row>
  </sheetData>
  <autoFilter ref="A2:GJ273" xr:uid="{00000000-0009-0000-0000-000003000000}"/>
  <mergeCells count="6">
    <mergeCell ref="L1:L2"/>
    <mergeCell ref="G1:G2"/>
    <mergeCell ref="I1:I2"/>
    <mergeCell ref="H1:H2"/>
    <mergeCell ref="J1:J2"/>
    <mergeCell ref="K1:K2"/>
  </mergeCells>
  <printOptions horizontalCentered="1"/>
  <pageMargins left="0.59055118110236227" right="0.59055118110236227" top="0.59055118110236227" bottom="0.59055118110236227" header="0" footer="0"/>
  <pageSetup paperSize="9" scale="66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80"/>
  <sheetViews>
    <sheetView topLeftCell="A85" zoomScaleNormal="100" workbookViewId="0">
      <selection activeCell="K101" sqref="K101:L101"/>
    </sheetView>
  </sheetViews>
  <sheetFormatPr defaultColWidth="9.140625" defaultRowHeight="12.75"/>
  <cols>
    <col min="1" max="2" width="3.42578125" style="843" customWidth="1"/>
    <col min="3" max="4" width="2.7109375" style="843" customWidth="1"/>
    <col min="5" max="5" width="3.42578125" style="843" customWidth="1"/>
    <col min="6" max="6" width="40.7109375" style="691" customWidth="1"/>
    <col min="7" max="7" width="13.140625" style="728" bestFit="1" customWidth="1"/>
    <col min="8" max="8" width="12.85546875" style="728" bestFit="1" customWidth="1"/>
    <col min="9" max="9" width="13" style="839" customWidth="1"/>
    <col min="10" max="10" width="13" style="839" bestFit="1" customWidth="1"/>
    <col min="11" max="11" width="12" style="840" bestFit="1" customWidth="1"/>
    <col min="12" max="12" width="9.42578125" style="841" bestFit="1" customWidth="1"/>
    <col min="13" max="13" width="13.42578125" style="691" bestFit="1" customWidth="1"/>
    <col min="14" max="14" width="13.85546875" style="691" bestFit="1" customWidth="1"/>
    <col min="15" max="15" width="11.140625" style="691" bestFit="1" customWidth="1"/>
    <col min="16" max="16" width="9.140625" style="691"/>
    <col min="17" max="17" width="12.7109375" style="691" bestFit="1" customWidth="1"/>
    <col min="18" max="18" width="9.140625" style="691"/>
    <col min="19" max="19" width="10.85546875" style="691" bestFit="1" customWidth="1"/>
    <col min="20" max="16384" width="9.140625" style="691"/>
  </cols>
  <sheetData>
    <row r="1" spans="1:20" ht="32.25" customHeight="1" thickBot="1">
      <c r="A1" s="965" t="s">
        <v>4580</v>
      </c>
      <c r="B1" s="966"/>
      <c r="C1" s="966"/>
      <c r="D1" s="966"/>
      <c r="E1" s="966"/>
      <c r="F1" s="966"/>
      <c r="G1" s="966"/>
      <c r="H1" s="966"/>
      <c r="I1" s="966"/>
      <c r="J1" s="966"/>
      <c r="K1" s="947" t="s">
        <v>4581</v>
      </c>
      <c r="L1" s="948"/>
    </row>
    <row r="2" spans="1:20" ht="7.5" customHeight="1" thickBot="1">
      <c r="A2" s="692"/>
      <c r="B2" s="692"/>
      <c r="C2" s="692"/>
      <c r="D2" s="692"/>
      <c r="E2" s="692"/>
      <c r="F2" s="693"/>
      <c r="G2" s="694"/>
      <c r="H2" s="694"/>
      <c r="I2" s="695"/>
      <c r="J2" s="696"/>
      <c r="K2" s="697"/>
      <c r="L2" s="698"/>
    </row>
    <row r="3" spans="1:20" ht="13.15" customHeight="1">
      <c r="A3" s="967" t="s">
        <v>2097</v>
      </c>
      <c r="B3" s="968"/>
      <c r="C3" s="968"/>
      <c r="D3" s="968"/>
      <c r="E3" s="968"/>
      <c r="F3" s="968"/>
      <c r="G3" s="968"/>
      <c r="H3" s="968"/>
      <c r="I3" s="954" t="s">
        <v>4582</v>
      </c>
      <c r="J3" s="954" t="s">
        <v>4583</v>
      </c>
      <c r="K3" s="956" t="s">
        <v>3453</v>
      </c>
      <c r="L3" s="957"/>
    </row>
    <row r="4" spans="1:20" ht="39.75" customHeight="1">
      <c r="A4" s="969"/>
      <c r="B4" s="970"/>
      <c r="C4" s="970"/>
      <c r="D4" s="970"/>
      <c r="E4" s="970"/>
      <c r="F4" s="970"/>
      <c r="G4" s="971"/>
      <c r="H4" s="970"/>
      <c r="I4" s="955"/>
      <c r="J4" s="955"/>
      <c r="K4" s="388" t="s">
        <v>2</v>
      </c>
      <c r="L4" s="699" t="s">
        <v>3</v>
      </c>
    </row>
    <row r="5" spans="1:20">
      <c r="A5" s="700"/>
      <c r="B5" s="701"/>
      <c r="C5" s="701"/>
      <c r="D5" s="701"/>
      <c r="E5" s="701"/>
      <c r="F5" s="702"/>
      <c r="G5" s="703"/>
      <c r="H5" s="704"/>
      <c r="I5" s="705"/>
      <c r="J5" s="705"/>
      <c r="K5" s="706"/>
      <c r="L5" s="707"/>
    </row>
    <row r="6" spans="1:20" s="717" customFormat="1" ht="11.25">
      <c r="A6" s="708" t="s">
        <v>4</v>
      </c>
      <c r="B6" s="709" t="s">
        <v>4584</v>
      </c>
      <c r="C6" s="710"/>
      <c r="D6" s="710"/>
      <c r="E6" s="710"/>
      <c r="F6" s="711"/>
      <c r="G6" s="712"/>
      <c r="H6" s="712"/>
      <c r="I6" s="713"/>
      <c r="J6" s="714"/>
      <c r="K6" s="715"/>
      <c r="L6" s="716"/>
    </row>
    <row r="7" spans="1:20" s="717" customFormat="1" ht="11.25">
      <c r="A7" s="718"/>
      <c r="B7" s="710" t="s">
        <v>123</v>
      </c>
      <c r="C7" s="719" t="s">
        <v>4585</v>
      </c>
      <c r="D7" s="710"/>
      <c r="E7" s="710"/>
      <c r="F7" s="711"/>
      <c r="G7" s="712"/>
      <c r="H7" s="712"/>
      <c r="I7" s="720">
        <f>SUM(I8:I12)</f>
        <v>39205</v>
      </c>
      <c r="J7" s="720">
        <f>SUM(J8:J12)</f>
        <v>54573</v>
      </c>
      <c r="K7" s="721">
        <f>+I7-J7</f>
        <v>-15368</v>
      </c>
      <c r="L7" s="165">
        <f>IF(J7=0,"-    ",K7/J7)</f>
        <v>-0.28160445641617649</v>
      </c>
      <c r="M7" s="722"/>
    </row>
    <row r="8" spans="1:20" s="728" customFormat="1" ht="11.25">
      <c r="A8" s="708"/>
      <c r="B8" s="710"/>
      <c r="C8" s="723" t="s">
        <v>86</v>
      </c>
      <c r="D8" s="172" t="s">
        <v>4586</v>
      </c>
      <c r="E8" s="710"/>
      <c r="F8" s="724"/>
      <c r="G8" s="725"/>
      <c r="H8" s="725"/>
      <c r="I8" s="726">
        <f>ROUND(+'SP Min'!D8-'SP Min'!D30,0)</f>
        <v>0</v>
      </c>
      <c r="J8" s="726">
        <f>ROUND(+'SP Min'!E8-'SP Min'!E30,0)</f>
        <v>0</v>
      </c>
      <c r="K8" s="721">
        <f t="shared" ref="K8:K37" si="0">+I8-J8</f>
        <v>0</v>
      </c>
      <c r="L8" s="727" t="str">
        <f t="shared" ref="L8:L36" si="1">IF(J8=0,"-    ",K8/J8)</f>
        <v xml:space="preserve">-    </v>
      </c>
      <c r="M8" s="722"/>
    </row>
    <row r="9" spans="1:20" s="728" customFormat="1" ht="11.25">
      <c r="A9" s="729"/>
      <c r="B9" s="710"/>
      <c r="C9" s="723" t="s">
        <v>88</v>
      </c>
      <c r="D9" s="172" t="s">
        <v>4587</v>
      </c>
      <c r="E9" s="710"/>
      <c r="F9" s="730"/>
      <c r="G9" s="725"/>
      <c r="H9" s="725"/>
      <c r="I9" s="731">
        <f>ROUND(+'SP Min'!D11-'SP Min'!D31,0)</f>
        <v>0</v>
      </c>
      <c r="J9" s="731">
        <f>ROUND(+'SP Min'!E11-'SP Min'!E31,0)</f>
        <v>0</v>
      </c>
      <c r="K9" s="721">
        <f t="shared" si="0"/>
        <v>0</v>
      </c>
      <c r="L9" s="727" t="str">
        <f t="shared" si="1"/>
        <v xml:space="preserve">-    </v>
      </c>
      <c r="M9" s="722"/>
    </row>
    <row r="10" spans="1:20" s="728" customFormat="1" ht="11.25">
      <c r="A10" s="729"/>
      <c r="B10" s="710"/>
      <c r="C10" s="723" t="s">
        <v>116</v>
      </c>
      <c r="D10" s="172" t="s">
        <v>4588</v>
      </c>
      <c r="E10" s="710"/>
      <c r="F10" s="730"/>
      <c r="G10" s="725"/>
      <c r="H10" s="725"/>
      <c r="I10" s="731">
        <f>ROUND(+'SP Min'!D14-'SP Min'!D32,0)</f>
        <v>0</v>
      </c>
      <c r="J10" s="731">
        <f>ROUND(+'SP Min'!E14-'SP Min'!E32,0)</f>
        <v>0</v>
      </c>
      <c r="K10" s="721">
        <f t="shared" si="0"/>
        <v>0</v>
      </c>
      <c r="L10" s="727" t="str">
        <f t="shared" si="1"/>
        <v xml:space="preserve">-    </v>
      </c>
      <c r="M10" s="722"/>
      <c r="Q10" s="732"/>
      <c r="R10" s="732"/>
      <c r="S10" s="732"/>
      <c r="T10" s="732"/>
    </row>
    <row r="11" spans="1:20" s="728" customFormat="1" ht="11.25">
      <c r="A11" s="729"/>
      <c r="B11" s="710"/>
      <c r="C11" s="723" t="s">
        <v>4589</v>
      </c>
      <c r="D11" s="172" t="s">
        <v>3943</v>
      </c>
      <c r="E11" s="710"/>
      <c r="F11" s="730"/>
      <c r="G11" s="725"/>
      <c r="H11" s="725"/>
      <c r="I11" s="731">
        <f>ROUND(+'SP Min'!D19,0)</f>
        <v>0</v>
      </c>
      <c r="J11" s="731">
        <f>ROUND(+'SP Min'!E19,0)</f>
        <v>0</v>
      </c>
      <c r="K11" s="721">
        <f t="shared" si="0"/>
        <v>0</v>
      </c>
      <c r="L11" s="727" t="str">
        <f t="shared" si="1"/>
        <v xml:space="preserve">-    </v>
      </c>
      <c r="M11" s="722"/>
      <c r="Q11" s="732"/>
      <c r="R11" s="732"/>
      <c r="S11" s="732"/>
      <c r="T11" s="732"/>
    </row>
    <row r="12" spans="1:20" s="728" customFormat="1" ht="11.25">
      <c r="A12" s="729"/>
      <c r="B12" s="710"/>
      <c r="C12" s="723" t="s">
        <v>4590</v>
      </c>
      <c r="D12" s="172" t="s">
        <v>3945</v>
      </c>
      <c r="E12" s="710"/>
      <c r="F12" s="730"/>
      <c r="G12" s="725"/>
      <c r="H12" s="725"/>
      <c r="I12" s="731">
        <f>ROUND(+'SP Min'!D20-'SP Min'!D33,0)</f>
        <v>39205</v>
      </c>
      <c r="J12" s="731">
        <f>ROUND(+'SP Min'!E20-'SP Min'!E33,0)</f>
        <v>54573</v>
      </c>
      <c r="K12" s="721">
        <f t="shared" si="0"/>
        <v>-15368</v>
      </c>
      <c r="L12" s="727">
        <f t="shared" si="1"/>
        <v>-0.28160445641617649</v>
      </c>
      <c r="M12" s="722"/>
      <c r="Q12" s="732"/>
      <c r="R12" s="732"/>
      <c r="S12" s="732"/>
      <c r="T12" s="732"/>
    </row>
    <row r="13" spans="1:20" s="717" customFormat="1" ht="11.25">
      <c r="A13" s="718"/>
      <c r="B13" s="710" t="s">
        <v>124</v>
      </c>
      <c r="C13" s="733" t="s">
        <v>4591</v>
      </c>
      <c r="D13" s="710"/>
      <c r="E13" s="710"/>
      <c r="F13" s="711"/>
      <c r="G13" s="712"/>
      <c r="H13" s="712"/>
      <c r="I13" s="720">
        <f>I14+I17+SUM(I20:I26)</f>
        <v>32177564</v>
      </c>
      <c r="J13" s="720">
        <f>J14+J17+SUM(J20:J26)</f>
        <v>30752337</v>
      </c>
      <c r="K13" s="721">
        <f t="shared" si="0"/>
        <v>1425227</v>
      </c>
      <c r="L13" s="716">
        <f t="shared" si="1"/>
        <v>4.6345323283885707E-2</v>
      </c>
      <c r="M13" s="722"/>
      <c r="Q13" s="734"/>
      <c r="R13" s="734"/>
      <c r="S13" s="734"/>
      <c r="T13" s="734"/>
    </row>
    <row r="14" spans="1:20" s="728" customFormat="1" ht="11.25">
      <c r="A14" s="708"/>
      <c r="B14" s="710"/>
      <c r="C14" s="723" t="s">
        <v>86</v>
      </c>
      <c r="D14" s="172" t="s">
        <v>3954</v>
      </c>
      <c r="E14" s="723"/>
      <c r="F14" s="735"/>
      <c r="G14" s="725"/>
      <c r="H14" s="725"/>
      <c r="I14" s="731">
        <f>SUM(I15:I16)</f>
        <v>0</v>
      </c>
      <c r="J14" s="731">
        <f>SUM(J15:J16)</f>
        <v>0</v>
      </c>
      <c r="K14" s="721">
        <f t="shared" si="0"/>
        <v>0</v>
      </c>
      <c r="L14" s="716" t="str">
        <f t="shared" si="1"/>
        <v xml:space="preserve">-    </v>
      </c>
      <c r="M14" s="722"/>
      <c r="Q14" s="732"/>
      <c r="R14" s="732"/>
      <c r="S14" s="732"/>
      <c r="T14" s="732"/>
    </row>
    <row r="15" spans="1:20" s="742" customFormat="1" ht="11.25">
      <c r="A15" s="736"/>
      <c r="B15" s="737"/>
      <c r="C15" s="738"/>
      <c r="D15" s="738" t="s">
        <v>4592</v>
      </c>
      <c r="E15" s="739" t="s">
        <v>3955</v>
      </c>
      <c r="F15" s="740"/>
      <c r="G15" s="741"/>
      <c r="H15" s="741"/>
      <c r="I15" s="731">
        <f>ROUND(+'SP Min'!D36-'Alimentazione SP P'!I55,0)</f>
        <v>0</v>
      </c>
      <c r="J15" s="731">
        <f>ROUND(+'SP Min'!E36-'Alimentazione SP P'!J55,0)</f>
        <v>0</v>
      </c>
      <c r="K15" s="721">
        <f t="shared" si="0"/>
        <v>0</v>
      </c>
      <c r="L15" s="716" t="str">
        <f t="shared" si="1"/>
        <v xml:space="preserve">-    </v>
      </c>
      <c r="M15" s="722"/>
      <c r="Q15" s="743"/>
      <c r="R15" s="743"/>
      <c r="S15" s="743"/>
      <c r="T15" s="743"/>
    </row>
    <row r="16" spans="1:20" s="742" customFormat="1" ht="11.25">
      <c r="A16" s="736"/>
      <c r="B16" s="737"/>
      <c r="C16" s="738"/>
      <c r="D16" s="738" t="s">
        <v>4593</v>
      </c>
      <c r="E16" s="744" t="s">
        <v>3957</v>
      </c>
      <c r="F16" s="735"/>
      <c r="G16" s="741"/>
      <c r="H16" s="741"/>
      <c r="I16" s="731">
        <f>ROUND(+'SP Min'!D37-'Alimentazione SP P'!I56,0)</f>
        <v>0</v>
      </c>
      <c r="J16" s="731">
        <f>ROUND(+'SP Min'!E37-'Alimentazione SP P'!J56,0)</f>
        <v>0</v>
      </c>
      <c r="K16" s="721">
        <f t="shared" si="0"/>
        <v>0</v>
      </c>
      <c r="L16" s="716" t="str">
        <f t="shared" si="1"/>
        <v xml:space="preserve">-    </v>
      </c>
      <c r="M16" s="722"/>
      <c r="Q16" s="743"/>
      <c r="R16" s="743"/>
      <c r="S16" s="743"/>
      <c r="T16" s="743"/>
    </row>
    <row r="17" spans="1:20" s="728" customFormat="1" ht="11.25">
      <c r="A17" s="708"/>
      <c r="B17" s="710"/>
      <c r="C17" s="723" t="s">
        <v>88</v>
      </c>
      <c r="D17" s="178" t="s">
        <v>3959</v>
      </c>
      <c r="E17" s="710"/>
      <c r="F17" s="730"/>
      <c r="G17" s="725"/>
      <c r="H17" s="725"/>
      <c r="I17" s="731">
        <f>SUM(I18:I19)</f>
        <v>21235225</v>
      </c>
      <c r="J17" s="731">
        <f>SUM(J18:J19)</f>
        <v>21156847</v>
      </c>
      <c r="K17" s="721">
        <f t="shared" si="0"/>
        <v>78378</v>
      </c>
      <c r="L17" s="727">
        <f t="shared" si="1"/>
        <v>3.7046162880508614E-3</v>
      </c>
      <c r="M17" s="722"/>
      <c r="Q17" s="732"/>
      <c r="R17" s="732"/>
      <c r="S17" s="732"/>
      <c r="T17" s="732"/>
    </row>
    <row r="18" spans="1:20" s="728" customFormat="1" ht="11.25">
      <c r="A18" s="708"/>
      <c r="B18" s="710"/>
      <c r="C18" s="723"/>
      <c r="D18" s="738" t="s">
        <v>4592</v>
      </c>
      <c r="E18" s="739" t="s">
        <v>3960</v>
      </c>
      <c r="F18" s="735"/>
      <c r="G18" s="725"/>
      <c r="H18" s="725"/>
      <c r="I18" s="731">
        <f>ROUND('SP Min'!D39-'Alimentazione SP P'!I57,0)</f>
        <v>381593</v>
      </c>
      <c r="J18" s="731">
        <f>ROUND('SP Min'!E39-'Alimentazione SP P'!J57,0)</f>
        <v>763592</v>
      </c>
      <c r="K18" s="721">
        <f t="shared" si="0"/>
        <v>-381999</v>
      </c>
      <c r="L18" s="727">
        <f t="shared" si="1"/>
        <v>-0.50026584877788138</v>
      </c>
      <c r="M18" s="722"/>
      <c r="Q18" s="732"/>
      <c r="R18" s="732"/>
      <c r="S18" s="732"/>
      <c r="T18" s="732"/>
    </row>
    <row r="19" spans="1:20" s="728" customFormat="1" ht="11.25">
      <c r="A19" s="708"/>
      <c r="B19" s="710"/>
      <c r="C19" s="723"/>
      <c r="D19" s="738" t="s">
        <v>4593</v>
      </c>
      <c r="E19" s="739" t="s">
        <v>3962</v>
      </c>
      <c r="F19" s="172"/>
      <c r="G19" s="725"/>
      <c r="H19" s="725"/>
      <c r="I19" s="731">
        <f>+ROUND('SP Min'!D42-'Alimentazione SP P'!I58,0)</f>
        <v>20853632</v>
      </c>
      <c r="J19" s="731">
        <f>+ROUND('SP Min'!E42-'Alimentazione SP P'!J58,0)</f>
        <v>20393255</v>
      </c>
      <c r="K19" s="721">
        <f t="shared" si="0"/>
        <v>460377</v>
      </c>
      <c r="L19" s="727">
        <f t="shared" si="1"/>
        <v>2.2574964124167526E-2</v>
      </c>
      <c r="M19" s="722"/>
      <c r="Q19" s="732"/>
      <c r="R19" s="732"/>
      <c r="S19" s="732"/>
      <c r="T19" s="732"/>
    </row>
    <row r="20" spans="1:20" s="728" customFormat="1" ht="11.25">
      <c r="A20" s="708"/>
      <c r="B20" s="710"/>
      <c r="C20" s="723" t="s">
        <v>116</v>
      </c>
      <c r="D20" s="178" t="s">
        <v>3964</v>
      </c>
      <c r="E20" s="710"/>
      <c r="F20" s="172"/>
      <c r="G20" s="725"/>
      <c r="H20" s="725"/>
      <c r="I20" s="731">
        <f>+ROUND('SP Min'!D45-'SP Min'!D65,0)</f>
        <v>114</v>
      </c>
      <c r="J20" s="731">
        <f>+ROUND('SP Min'!E45-'SP Min'!E65,0)</f>
        <v>341</v>
      </c>
      <c r="K20" s="721">
        <f t="shared" si="0"/>
        <v>-227</v>
      </c>
      <c r="L20" s="727">
        <f t="shared" si="1"/>
        <v>-0.66568914956011727</v>
      </c>
      <c r="M20" s="722"/>
      <c r="Q20" s="732"/>
      <c r="R20" s="732"/>
      <c r="S20" s="732"/>
      <c r="T20" s="732"/>
    </row>
    <row r="21" spans="1:20" s="728" customFormat="1" ht="11.25">
      <c r="A21" s="708"/>
      <c r="B21" s="710"/>
      <c r="C21" s="723" t="s">
        <v>4589</v>
      </c>
      <c r="D21" s="745" t="s">
        <v>3966</v>
      </c>
      <c r="E21" s="710"/>
      <c r="F21" s="730"/>
      <c r="G21" s="725"/>
      <c r="H21" s="725"/>
      <c r="I21" s="731">
        <f>+ROUND('SP Min'!D48-'SP Min'!D66,0)</f>
        <v>4561514</v>
      </c>
      <c r="J21" s="731">
        <f>+ROUND('SP Min'!E48-'SP Min'!E66,0)</f>
        <v>3976294</v>
      </c>
      <c r="K21" s="721">
        <f t="shared" si="0"/>
        <v>585220</v>
      </c>
      <c r="L21" s="727">
        <f t="shared" si="1"/>
        <v>0.14717724594811149</v>
      </c>
      <c r="M21" s="722"/>
      <c r="Q21" s="732"/>
      <c r="R21" s="732"/>
      <c r="S21" s="732"/>
      <c r="T21" s="732"/>
    </row>
    <row r="22" spans="1:20" s="728" customFormat="1" ht="11.25">
      <c r="A22" s="708"/>
      <c r="B22" s="710"/>
      <c r="C22" s="723" t="s">
        <v>4590</v>
      </c>
      <c r="D22" s="178" t="s">
        <v>3968</v>
      </c>
      <c r="E22" s="710"/>
      <c r="F22" s="724"/>
      <c r="G22" s="725"/>
      <c r="H22" s="725"/>
      <c r="I22" s="731">
        <f>+ROUND('SP Min'!D51-'SP Min'!D67,0)</f>
        <v>286498</v>
      </c>
      <c r="J22" s="731">
        <f>+ROUND('SP Min'!E51-'SP Min'!E67,0)</f>
        <v>119091</v>
      </c>
      <c r="K22" s="721">
        <f t="shared" si="0"/>
        <v>167407</v>
      </c>
      <c r="L22" s="727">
        <f t="shared" si="1"/>
        <v>1.4057065605293431</v>
      </c>
      <c r="M22" s="722"/>
      <c r="Q22" s="732"/>
      <c r="R22" s="732"/>
      <c r="S22" s="732"/>
      <c r="T22" s="732"/>
    </row>
    <row r="23" spans="1:20" s="728" customFormat="1" ht="11.25">
      <c r="A23" s="708"/>
      <c r="B23" s="710"/>
      <c r="C23" s="723" t="s">
        <v>4594</v>
      </c>
      <c r="D23" s="178" t="s">
        <v>3970</v>
      </c>
      <c r="E23" s="710"/>
      <c r="F23" s="172"/>
      <c r="G23" s="725"/>
      <c r="H23" s="725"/>
      <c r="I23" s="731">
        <f>+ROUND('SP Min'!D54-'SP Min'!D68,0)</f>
        <v>5063</v>
      </c>
      <c r="J23" s="731">
        <f>+ROUND('SP Min'!E54-'SP Min'!E68,0)</f>
        <v>9814</v>
      </c>
      <c r="K23" s="721">
        <f t="shared" si="0"/>
        <v>-4751</v>
      </c>
      <c r="L23" s="727">
        <f t="shared" si="1"/>
        <v>-0.48410434073772163</v>
      </c>
      <c r="M23" s="722"/>
      <c r="Q23" s="732"/>
      <c r="R23" s="732"/>
      <c r="S23" s="732"/>
      <c r="T23" s="732"/>
    </row>
    <row r="24" spans="1:20" s="728" customFormat="1" ht="11.25">
      <c r="A24" s="708"/>
      <c r="B24" s="710"/>
      <c r="C24" s="723" t="s">
        <v>4595</v>
      </c>
      <c r="D24" s="178" t="s">
        <v>3972</v>
      </c>
      <c r="E24" s="710"/>
      <c r="F24" s="172"/>
      <c r="G24" s="725"/>
      <c r="H24" s="725"/>
      <c r="I24" s="731">
        <f>+ROUND('SP Min'!D57-'SP Min'!D69,0)</f>
        <v>0</v>
      </c>
      <c r="J24" s="731">
        <f>+ROUND('SP Min'!E57-'SP Min'!E69,0)</f>
        <v>0</v>
      </c>
      <c r="K24" s="721">
        <f t="shared" si="0"/>
        <v>0</v>
      </c>
      <c r="L24" s="727" t="str">
        <f t="shared" si="1"/>
        <v xml:space="preserve">-    </v>
      </c>
      <c r="M24" s="722"/>
      <c r="Q24" s="732"/>
      <c r="R24" s="732"/>
      <c r="S24" s="732"/>
      <c r="T24" s="732"/>
    </row>
    <row r="25" spans="1:20" s="728" customFormat="1" ht="11.25">
      <c r="A25" s="708"/>
      <c r="B25" s="710"/>
      <c r="C25" s="723" t="s">
        <v>4596</v>
      </c>
      <c r="D25" s="172" t="s">
        <v>3974</v>
      </c>
      <c r="E25" s="710"/>
      <c r="F25" s="730"/>
      <c r="G25" s="725"/>
      <c r="H25" s="725"/>
      <c r="I25" s="731">
        <f>+ROUND('SP Min'!D58-'SP Min'!D70,0)</f>
        <v>540316</v>
      </c>
      <c r="J25" s="731">
        <f>+ROUND('SP Min'!E58-'SP Min'!E70,0)</f>
        <v>712080</v>
      </c>
      <c r="K25" s="721">
        <f t="shared" si="0"/>
        <v>-171764</v>
      </c>
      <c r="L25" s="727">
        <f t="shared" si="1"/>
        <v>-0.24121447028423773</v>
      </c>
      <c r="M25" s="722"/>
      <c r="Q25" s="732"/>
      <c r="R25" s="732"/>
      <c r="S25" s="732"/>
      <c r="T25" s="732"/>
    </row>
    <row r="26" spans="1:20" s="728" customFormat="1" ht="11.25">
      <c r="A26" s="708"/>
      <c r="B26" s="710"/>
      <c r="C26" s="723" t="s">
        <v>4597</v>
      </c>
      <c r="D26" s="172" t="s">
        <v>3976</v>
      </c>
      <c r="E26" s="710"/>
      <c r="F26" s="724"/>
      <c r="G26" s="725"/>
      <c r="H26" s="725"/>
      <c r="I26" s="731">
        <f>+ROUND('SP Min'!D61,0)</f>
        <v>5548834</v>
      </c>
      <c r="J26" s="731">
        <f>+ROUND('SP Min'!E61,0)</f>
        <v>4777870</v>
      </c>
      <c r="K26" s="721">
        <f t="shared" si="0"/>
        <v>770964</v>
      </c>
      <c r="L26" s="727">
        <f t="shared" si="1"/>
        <v>0.16136144348841638</v>
      </c>
      <c r="M26" s="722"/>
      <c r="Q26" s="732"/>
      <c r="R26" s="732"/>
      <c r="S26" s="732"/>
      <c r="T26" s="732"/>
    </row>
    <row r="27" spans="1:20" s="728" customFormat="1" ht="11.25">
      <c r="A27" s="708"/>
      <c r="B27" s="710"/>
      <c r="C27" s="723"/>
      <c r="D27" s="710"/>
      <c r="E27" s="710"/>
      <c r="F27" s="178"/>
      <c r="G27" s="746" t="s">
        <v>4598</v>
      </c>
      <c r="H27" s="746" t="s">
        <v>4599</v>
      </c>
      <c r="I27" s="731"/>
      <c r="J27" s="731"/>
      <c r="K27" s="721">
        <f t="shared" si="0"/>
        <v>0</v>
      </c>
      <c r="L27" s="727" t="str">
        <f t="shared" si="1"/>
        <v xml:space="preserve">-    </v>
      </c>
      <c r="M27" s="722"/>
      <c r="Q27" s="732"/>
      <c r="R27" s="732"/>
      <c r="S27" s="732"/>
      <c r="T27" s="732"/>
    </row>
    <row r="28" spans="1:20" s="717" customFormat="1" ht="26.25" customHeight="1">
      <c r="A28" s="718"/>
      <c r="B28" s="710" t="s">
        <v>125</v>
      </c>
      <c r="C28" s="972" t="s">
        <v>4600</v>
      </c>
      <c r="D28" s="972"/>
      <c r="E28" s="972"/>
      <c r="F28" s="973"/>
      <c r="G28" s="720">
        <f t="shared" ref="G28:H28" si="2">G29+G34</f>
        <v>0</v>
      </c>
      <c r="H28" s="720">
        <f t="shared" si="2"/>
        <v>0</v>
      </c>
      <c r="I28" s="720">
        <f>I29+I34</f>
        <v>182095</v>
      </c>
      <c r="J28" s="720">
        <f>J29+J34</f>
        <v>185095</v>
      </c>
      <c r="K28" s="721">
        <f t="shared" si="0"/>
        <v>-3000</v>
      </c>
      <c r="L28" s="716">
        <f t="shared" si="1"/>
        <v>-1.6207893244009834E-2</v>
      </c>
      <c r="M28" s="722"/>
      <c r="Q28" s="734"/>
      <c r="R28" s="734"/>
      <c r="S28" s="734"/>
      <c r="T28" s="734"/>
    </row>
    <row r="29" spans="1:20" s="728" customFormat="1" ht="11.25">
      <c r="A29" s="729"/>
      <c r="B29" s="710"/>
      <c r="C29" s="723" t="s">
        <v>86</v>
      </c>
      <c r="D29" s="747" t="s">
        <v>3979</v>
      </c>
      <c r="E29" s="730"/>
      <c r="F29" s="730"/>
      <c r="G29" s="731">
        <f t="shared" ref="G29:H29" si="3">SUM(G30:G33)</f>
        <v>0</v>
      </c>
      <c r="H29" s="731">
        <f t="shared" si="3"/>
        <v>0</v>
      </c>
      <c r="I29" s="731">
        <f>SUM(I30:I33)</f>
        <v>177095</v>
      </c>
      <c r="J29" s="731">
        <f>SUM(J30:J33)</f>
        <v>177095</v>
      </c>
      <c r="K29" s="721">
        <f t="shared" si="0"/>
        <v>0</v>
      </c>
      <c r="L29" s="727">
        <f t="shared" si="1"/>
        <v>0</v>
      </c>
      <c r="M29" s="722"/>
      <c r="Q29" s="732"/>
      <c r="R29" s="732"/>
      <c r="S29" s="732"/>
      <c r="T29" s="732"/>
    </row>
    <row r="30" spans="1:20" s="728" customFormat="1" ht="11.25">
      <c r="A30" s="708"/>
      <c r="B30" s="710"/>
      <c r="C30" s="710"/>
      <c r="D30" s="738" t="s">
        <v>4592</v>
      </c>
      <c r="E30" s="735" t="s">
        <v>3980</v>
      </c>
      <c r="F30" s="724"/>
      <c r="G30" s="748"/>
      <c r="H30" s="748"/>
      <c r="I30" s="731">
        <f>+ROUND('SP Min'!D73,0)</f>
        <v>0</v>
      </c>
      <c r="J30" s="731">
        <f>+ROUND('SP Min'!E73,0)</f>
        <v>0</v>
      </c>
      <c r="K30" s="721">
        <f t="shared" si="0"/>
        <v>0</v>
      </c>
      <c r="L30" s="727" t="str">
        <f t="shared" si="1"/>
        <v xml:space="preserve">-    </v>
      </c>
      <c r="M30" s="722"/>
      <c r="Q30" s="732"/>
      <c r="R30" s="732"/>
      <c r="S30" s="732"/>
      <c r="T30" s="732"/>
    </row>
    <row r="31" spans="1:20" s="728" customFormat="1" ht="11.25">
      <c r="A31" s="708"/>
      <c r="B31" s="710"/>
      <c r="C31" s="710"/>
      <c r="D31" s="738" t="s">
        <v>4593</v>
      </c>
      <c r="E31" s="735" t="s">
        <v>3981</v>
      </c>
      <c r="F31" s="735"/>
      <c r="G31" s="748"/>
      <c r="H31" s="748"/>
      <c r="I31" s="731">
        <f>+ROUND('SP Min'!D74,0)</f>
        <v>0</v>
      </c>
      <c r="J31" s="731">
        <f>+ROUND('SP Min'!E74,0)</f>
        <v>0</v>
      </c>
      <c r="K31" s="721">
        <f t="shared" si="0"/>
        <v>0</v>
      </c>
      <c r="L31" s="727" t="str">
        <f t="shared" si="1"/>
        <v xml:space="preserve">-    </v>
      </c>
      <c r="M31" s="722"/>
      <c r="Q31" s="732"/>
      <c r="R31" s="732"/>
      <c r="S31" s="732"/>
      <c r="T31" s="732"/>
    </row>
    <row r="32" spans="1:20" s="728" customFormat="1" ht="11.25">
      <c r="A32" s="708"/>
      <c r="B32" s="710"/>
      <c r="C32" s="723"/>
      <c r="D32" s="738" t="s">
        <v>4601</v>
      </c>
      <c r="E32" s="749" t="s">
        <v>3982</v>
      </c>
      <c r="F32" s="724"/>
      <c r="G32" s="748"/>
      <c r="H32" s="748"/>
      <c r="I32" s="731">
        <f>+ROUND('SP Min'!D75,0)</f>
        <v>0</v>
      </c>
      <c r="J32" s="731">
        <f>+ROUND('SP Min'!E75,0)</f>
        <v>0</v>
      </c>
      <c r="K32" s="721">
        <f t="shared" si="0"/>
        <v>0</v>
      </c>
      <c r="L32" s="727" t="str">
        <f t="shared" si="1"/>
        <v xml:space="preserve">-    </v>
      </c>
      <c r="M32" s="722"/>
      <c r="Q32" s="732"/>
      <c r="R32" s="732"/>
      <c r="S32" s="732"/>
      <c r="T32" s="732"/>
    </row>
    <row r="33" spans="1:20" s="728" customFormat="1" ht="11.25">
      <c r="A33" s="708"/>
      <c r="B33" s="710"/>
      <c r="C33" s="723"/>
      <c r="D33" s="738" t="s">
        <v>4602</v>
      </c>
      <c r="E33" s="749" t="s">
        <v>3983</v>
      </c>
      <c r="F33" s="747"/>
      <c r="G33" s="748"/>
      <c r="H33" s="750"/>
      <c r="I33" s="731">
        <f>+ROUND('SP Min'!D76,0)</f>
        <v>177095</v>
      </c>
      <c r="J33" s="731">
        <f>+ROUND('SP Min'!E76,0)</f>
        <v>177095</v>
      </c>
      <c r="K33" s="721">
        <f t="shared" si="0"/>
        <v>0</v>
      </c>
      <c r="L33" s="727">
        <f t="shared" si="1"/>
        <v>0</v>
      </c>
      <c r="M33" s="722"/>
      <c r="Q33" s="732"/>
      <c r="R33" s="732"/>
      <c r="S33" s="732"/>
      <c r="T33" s="732"/>
    </row>
    <row r="34" spans="1:20" s="728" customFormat="1" ht="11.25">
      <c r="A34" s="708"/>
      <c r="B34" s="710"/>
      <c r="C34" s="723" t="s">
        <v>88</v>
      </c>
      <c r="D34" s="178" t="s">
        <v>3987</v>
      </c>
      <c r="E34" s="723"/>
      <c r="F34" s="747"/>
      <c r="G34" s="751"/>
      <c r="H34" s="725"/>
      <c r="I34" s="731">
        <f>SUM(I35:I36)</f>
        <v>5000</v>
      </c>
      <c r="J34" s="731">
        <f>SUM(J35:J36)</f>
        <v>8000</v>
      </c>
      <c r="K34" s="721">
        <f t="shared" si="0"/>
        <v>-3000</v>
      </c>
      <c r="L34" s="727">
        <f t="shared" si="1"/>
        <v>-0.375</v>
      </c>
      <c r="M34" s="722"/>
      <c r="Q34" s="732"/>
      <c r="R34" s="732"/>
      <c r="S34" s="732"/>
      <c r="T34" s="732"/>
    </row>
    <row r="35" spans="1:20" s="728" customFormat="1" ht="11.25">
      <c r="A35" s="708"/>
      <c r="B35" s="710"/>
      <c r="C35" s="723"/>
      <c r="D35" s="738" t="s">
        <v>4592</v>
      </c>
      <c r="E35" s="739" t="s">
        <v>3988</v>
      </c>
      <c r="F35" s="730"/>
      <c r="G35" s="725"/>
      <c r="H35" s="725"/>
      <c r="I35" s="731">
        <f>+ROUND('SP Min'!D78,0)</f>
        <v>5000</v>
      </c>
      <c r="J35" s="731">
        <f>+ROUND('SP Min'!E78,0)</f>
        <v>8000</v>
      </c>
      <c r="K35" s="721">
        <f t="shared" si="0"/>
        <v>-3000</v>
      </c>
      <c r="L35" s="727">
        <f t="shared" si="1"/>
        <v>-0.375</v>
      </c>
      <c r="M35" s="722"/>
      <c r="Q35" s="732"/>
      <c r="R35" s="732"/>
      <c r="S35" s="732"/>
      <c r="T35" s="732"/>
    </row>
    <row r="36" spans="1:20" s="728" customFormat="1" ht="11.25">
      <c r="A36" s="708"/>
      <c r="B36" s="710"/>
      <c r="C36" s="723"/>
      <c r="D36" s="738" t="s">
        <v>4593</v>
      </c>
      <c r="E36" s="739" t="s">
        <v>3990</v>
      </c>
      <c r="F36" s="172"/>
      <c r="G36" s="752"/>
      <c r="H36" s="725"/>
      <c r="I36" s="750">
        <f>+ROUND('SP Min'!D79,0)</f>
        <v>0</v>
      </c>
      <c r="J36" s="750">
        <f>+ROUND('SP Min'!E79,0)</f>
        <v>0</v>
      </c>
      <c r="K36" s="721">
        <f t="shared" si="0"/>
        <v>0</v>
      </c>
      <c r="L36" s="727" t="str">
        <f t="shared" si="1"/>
        <v xml:space="preserve">-    </v>
      </c>
      <c r="M36" s="722"/>
      <c r="Q36" s="732"/>
      <c r="R36" s="732"/>
      <c r="S36" s="732"/>
      <c r="T36" s="732"/>
    </row>
    <row r="37" spans="1:20" s="717" customFormat="1" ht="11.25">
      <c r="A37" s="958" t="s">
        <v>4603</v>
      </c>
      <c r="B37" s="959"/>
      <c r="C37" s="959"/>
      <c r="D37" s="959"/>
      <c r="E37" s="959"/>
      <c r="F37" s="959"/>
      <c r="G37" s="974"/>
      <c r="H37" s="959"/>
      <c r="I37" s="753">
        <f>I7+I13+I28</f>
        <v>32398864</v>
      </c>
      <c r="J37" s="754">
        <f>J7+J13+J28</f>
        <v>30992005</v>
      </c>
      <c r="K37" s="755">
        <f t="shared" si="0"/>
        <v>1406859</v>
      </c>
      <c r="L37" s="147">
        <f>IF(J37=0,"-    ",K37/J37)</f>
        <v>4.5394255712078002E-2</v>
      </c>
      <c r="M37" s="722"/>
      <c r="Q37" s="734"/>
      <c r="R37" s="734"/>
      <c r="S37" s="734"/>
      <c r="T37" s="734"/>
    </row>
    <row r="38" spans="1:20" s="717" customFormat="1" ht="11.25">
      <c r="A38" s="708"/>
      <c r="B38" s="710"/>
      <c r="C38" s="710"/>
      <c r="D38" s="710"/>
      <c r="E38" s="710"/>
      <c r="F38" s="719"/>
      <c r="G38" s="712"/>
      <c r="H38" s="712"/>
      <c r="I38" s="756"/>
      <c r="J38" s="756"/>
      <c r="K38" s="757"/>
      <c r="L38" s="758"/>
      <c r="M38" s="722"/>
      <c r="Q38" s="734"/>
      <c r="R38" s="734"/>
      <c r="S38" s="734"/>
      <c r="T38" s="734"/>
    </row>
    <row r="39" spans="1:20" s="717" customFormat="1" ht="11.25">
      <c r="A39" s="759" t="s">
        <v>33</v>
      </c>
      <c r="B39" s="760" t="s">
        <v>4604</v>
      </c>
      <c r="C39" s="761"/>
      <c r="D39" s="761"/>
      <c r="E39" s="761"/>
      <c r="F39" s="711"/>
      <c r="G39" s="712"/>
      <c r="H39" s="712"/>
      <c r="I39" s="720"/>
      <c r="J39" s="714"/>
      <c r="K39" s="715"/>
      <c r="L39" s="716"/>
      <c r="M39" s="722"/>
      <c r="Q39" s="734"/>
      <c r="R39" s="734"/>
      <c r="S39" s="734"/>
      <c r="T39" s="734"/>
    </row>
    <row r="40" spans="1:20" s="717" customFormat="1" ht="11.25">
      <c r="A40" s="759"/>
      <c r="B40" s="761" t="s">
        <v>123</v>
      </c>
      <c r="C40" s="762" t="s">
        <v>4605</v>
      </c>
      <c r="D40" s="761"/>
      <c r="E40" s="761"/>
      <c r="F40" s="719"/>
      <c r="G40" s="712"/>
      <c r="H40" s="712"/>
      <c r="I40" s="720">
        <f>SUM(I41:I44)</f>
        <v>1542857</v>
      </c>
      <c r="J40" s="720">
        <f>SUM(J41:J44)</f>
        <v>1323160</v>
      </c>
      <c r="K40" s="721">
        <f>+I40-J40</f>
        <v>219697</v>
      </c>
      <c r="L40" s="716">
        <f t="shared" ref="L40:L98" si="4">IF(J40=0,"-    ",K40/J40)</f>
        <v>0.16603963239517519</v>
      </c>
      <c r="M40" s="722"/>
      <c r="Q40" s="734"/>
      <c r="R40" s="734"/>
      <c r="S40" s="734"/>
      <c r="T40" s="734"/>
    </row>
    <row r="41" spans="1:20" s="728" customFormat="1" ht="11.25">
      <c r="A41" s="759"/>
      <c r="B41" s="761"/>
      <c r="C41" s="763" t="s">
        <v>86</v>
      </c>
      <c r="D41" s="763" t="s">
        <v>4000</v>
      </c>
      <c r="E41" s="761"/>
      <c r="F41" s="730"/>
      <c r="G41" s="725"/>
      <c r="H41" s="725"/>
      <c r="I41" s="731">
        <f>+ROUND('SP Min'!D86-'SP Min'!D95,0)</f>
        <v>1425836</v>
      </c>
      <c r="J41" s="731">
        <f>+ROUND('SP Min'!E86-'SP Min'!E95,0)</f>
        <v>1204378</v>
      </c>
      <c r="K41" s="721">
        <f t="shared" ref="K41:K90" si="5">+I41-J41</f>
        <v>221458</v>
      </c>
      <c r="L41" s="727">
        <f t="shared" si="4"/>
        <v>0.18387748696837702</v>
      </c>
      <c r="M41" s="722"/>
      <c r="Q41" s="732"/>
      <c r="R41" s="732"/>
      <c r="S41" s="732"/>
      <c r="T41" s="732"/>
    </row>
    <row r="42" spans="1:20" s="728" customFormat="1" ht="11.25">
      <c r="A42" s="759"/>
      <c r="B42" s="761"/>
      <c r="C42" s="763" t="s">
        <v>88</v>
      </c>
      <c r="D42" s="763" t="s">
        <v>4011</v>
      </c>
      <c r="E42" s="761"/>
      <c r="F42" s="172"/>
      <c r="G42" s="725"/>
      <c r="H42" s="725"/>
      <c r="I42" s="731">
        <f>+ROUND('SP Min'!D96-'SP Min'!D103,0)</f>
        <v>117021</v>
      </c>
      <c r="J42" s="731">
        <f>+ROUND('SP Min'!E96-'SP Min'!E103,0)</f>
        <v>118782</v>
      </c>
      <c r="K42" s="721">
        <f t="shared" si="5"/>
        <v>-1761</v>
      </c>
      <c r="L42" s="727">
        <f t="shared" si="4"/>
        <v>-1.4825478607869879E-2</v>
      </c>
      <c r="M42" s="722"/>
      <c r="Q42" s="732"/>
      <c r="R42" s="732"/>
      <c r="S42" s="732"/>
      <c r="T42" s="732"/>
    </row>
    <row r="43" spans="1:20" s="728" customFormat="1" ht="11.25">
      <c r="A43" s="759"/>
      <c r="B43" s="761"/>
      <c r="C43" s="763" t="s">
        <v>116</v>
      </c>
      <c r="D43" s="763" t="s">
        <v>4606</v>
      </c>
      <c r="E43" s="761"/>
      <c r="F43" s="764"/>
      <c r="G43" s="725"/>
      <c r="H43" s="725"/>
      <c r="I43" s="731">
        <f>+ROUND('SP Min'!D95,0)</f>
        <v>0</v>
      </c>
      <c r="J43" s="731">
        <f>+ROUND('SP Min'!E95,0)</f>
        <v>0</v>
      </c>
      <c r="K43" s="721">
        <f t="shared" si="5"/>
        <v>0</v>
      </c>
      <c r="L43" s="727" t="str">
        <f t="shared" si="4"/>
        <v xml:space="preserve">-    </v>
      </c>
      <c r="M43" s="722"/>
      <c r="Q43" s="732"/>
      <c r="R43" s="732"/>
      <c r="S43" s="732"/>
      <c r="T43" s="732"/>
    </row>
    <row r="44" spans="1:20" s="728" customFormat="1" ht="11.25">
      <c r="A44" s="759"/>
      <c r="B44" s="761"/>
      <c r="C44" s="763" t="s">
        <v>4589</v>
      </c>
      <c r="D44" s="763" t="s">
        <v>4607</v>
      </c>
      <c r="E44" s="761"/>
      <c r="F44" s="172"/>
      <c r="G44" s="725"/>
      <c r="H44" s="725"/>
      <c r="I44" s="731">
        <f>+ROUND('SP Min'!D103,0)</f>
        <v>0</v>
      </c>
      <c r="J44" s="731">
        <f>+ROUND('SP Min'!E103,0)</f>
        <v>0</v>
      </c>
      <c r="K44" s="721">
        <f t="shared" si="5"/>
        <v>0</v>
      </c>
      <c r="L44" s="727" t="str">
        <f t="shared" si="4"/>
        <v xml:space="preserve">-    </v>
      </c>
      <c r="M44" s="722"/>
      <c r="Q44" s="732"/>
      <c r="R44" s="732"/>
      <c r="S44" s="732"/>
      <c r="T44" s="732"/>
    </row>
    <row r="45" spans="1:20" s="728" customFormat="1" ht="11.25">
      <c r="A45" s="759"/>
      <c r="B45" s="761"/>
      <c r="C45" s="761"/>
      <c r="D45" s="761"/>
      <c r="E45" s="761"/>
      <c r="F45" s="172"/>
      <c r="G45" s="746" t="s">
        <v>4598</v>
      </c>
      <c r="H45" s="746" t="s">
        <v>4599</v>
      </c>
      <c r="I45" s="731"/>
      <c r="J45" s="731"/>
      <c r="K45" s="721">
        <f t="shared" si="5"/>
        <v>0</v>
      </c>
      <c r="L45" s="727" t="str">
        <f t="shared" si="4"/>
        <v xml:space="preserve">-    </v>
      </c>
      <c r="M45" s="722"/>
      <c r="Q45" s="732"/>
      <c r="R45" s="732"/>
      <c r="S45" s="732"/>
      <c r="T45" s="732"/>
    </row>
    <row r="46" spans="1:20" s="717" customFormat="1" ht="25.5" customHeight="1">
      <c r="A46" s="718"/>
      <c r="B46" s="710" t="s">
        <v>124</v>
      </c>
      <c r="C46" s="972" t="s">
        <v>4608</v>
      </c>
      <c r="D46" s="972"/>
      <c r="E46" s="972"/>
      <c r="F46" s="973"/>
      <c r="G46" s="912">
        <f t="shared" ref="G46" si="6">G47+G58+G71+G72+G75+G76+G77</f>
        <v>14185543</v>
      </c>
      <c r="H46" s="912">
        <f>H47+H58+H71+H72+H75+H76+H77</f>
        <v>24402492</v>
      </c>
      <c r="I46" s="720">
        <f>I47+I58+I71+I72+I75+I76+I77</f>
        <v>38588035</v>
      </c>
      <c r="J46" s="720">
        <f>J47+J58+J71+J72+J75+J76+J77</f>
        <v>45049687</v>
      </c>
      <c r="K46" s="828">
        <f>+I46-J46</f>
        <v>-6461652</v>
      </c>
      <c r="L46" s="716">
        <f t="shared" si="4"/>
        <v>-0.14343389333648424</v>
      </c>
      <c r="M46" s="722"/>
      <c r="N46" s="722"/>
      <c r="O46" s="915"/>
      <c r="P46" s="915"/>
      <c r="Q46" s="734"/>
      <c r="R46" s="734"/>
      <c r="S46" s="734"/>
      <c r="T46" s="734"/>
    </row>
    <row r="47" spans="1:20" s="728" customFormat="1" ht="11.25">
      <c r="A47" s="729"/>
      <c r="B47" s="761"/>
      <c r="C47" s="763" t="s">
        <v>86</v>
      </c>
      <c r="D47" s="763" t="s">
        <v>4022</v>
      </c>
      <c r="E47" s="761"/>
      <c r="F47" s="765"/>
      <c r="G47" s="913">
        <f t="shared" ref="G47:H47" si="7">G48+G51+G52+G57</f>
        <v>3520386</v>
      </c>
      <c r="H47" s="913">
        <f t="shared" si="7"/>
        <v>17101928</v>
      </c>
      <c r="I47" s="731">
        <f>I48+I51+I52+I57</f>
        <v>20622314</v>
      </c>
      <c r="J47" s="731">
        <f>J48+J51+J52+J57</f>
        <v>21996878</v>
      </c>
      <c r="K47" s="828">
        <f t="shared" si="5"/>
        <v>-1374564</v>
      </c>
      <c r="L47" s="727">
        <f t="shared" si="4"/>
        <v>-6.2489049582399828E-2</v>
      </c>
      <c r="M47" s="722"/>
      <c r="N47" s="914"/>
      <c r="Q47" s="732"/>
      <c r="R47" s="732"/>
      <c r="S47" s="732"/>
      <c r="T47" s="732"/>
    </row>
    <row r="48" spans="1:20" s="728" customFormat="1" ht="11.25">
      <c r="A48" s="729"/>
      <c r="B48" s="761"/>
      <c r="C48" s="763"/>
      <c r="D48" s="767" t="s">
        <v>4592</v>
      </c>
      <c r="E48" s="767" t="s">
        <v>4609</v>
      </c>
      <c r="F48" s="765"/>
      <c r="G48" s="913">
        <f t="shared" ref="G48:H48" si="8">G49+G50</f>
        <v>3308104</v>
      </c>
      <c r="H48" s="913">
        <f t="shared" si="8"/>
        <v>0</v>
      </c>
      <c r="I48" s="731">
        <f>I49+I50</f>
        <v>3308104</v>
      </c>
      <c r="J48" s="731">
        <f>J49+J50</f>
        <v>4882976</v>
      </c>
      <c r="K48" s="828">
        <f>+I48-J48</f>
        <v>-1574872</v>
      </c>
      <c r="L48" s="727">
        <f t="shared" si="4"/>
        <v>-0.32252298598231899</v>
      </c>
      <c r="M48" s="722"/>
      <c r="N48" s="902"/>
      <c r="Q48" s="732"/>
      <c r="R48" s="732"/>
      <c r="S48" s="732"/>
      <c r="T48" s="732"/>
    </row>
    <row r="49" spans="1:20" s="728" customFormat="1" ht="11.25">
      <c r="A49" s="729"/>
      <c r="B49" s="761"/>
      <c r="C49" s="763"/>
      <c r="D49" s="763"/>
      <c r="E49" s="763" t="s">
        <v>86</v>
      </c>
      <c r="F49" s="765" t="s">
        <v>4610</v>
      </c>
      <c r="G49" s="766">
        <v>2554235</v>
      </c>
      <c r="H49" s="768"/>
      <c r="I49" s="731">
        <f>+ROUND('SP Min'!D106+'SP Min'!D107+'SP Min'!D108+'SP Min'!D109+'SP Min'!D110+'SP Min'!D111+'SP Min'!D113,0)</f>
        <v>2554235</v>
      </c>
      <c r="J49" s="731">
        <f>+ROUND('SP Min'!E106+'SP Min'!E107+'SP Min'!E108+'SP Min'!E109+'SP Min'!E110+'SP Min'!E111+'SP Min'!E113,0)</f>
        <v>2788876</v>
      </c>
      <c r="K49" s="828">
        <f t="shared" si="5"/>
        <v>-234641</v>
      </c>
      <c r="L49" s="727">
        <f t="shared" si="4"/>
        <v>-8.4134611936851983E-2</v>
      </c>
      <c r="M49" s="722"/>
      <c r="Q49" s="732"/>
      <c r="R49" s="732"/>
      <c r="S49" s="732"/>
      <c r="T49" s="732"/>
    </row>
    <row r="50" spans="1:20" s="728" customFormat="1" ht="11.25">
      <c r="A50" s="729"/>
      <c r="B50" s="761"/>
      <c r="C50" s="763"/>
      <c r="D50" s="763"/>
      <c r="E50" s="763" t="s">
        <v>88</v>
      </c>
      <c r="F50" s="765" t="s">
        <v>4611</v>
      </c>
      <c r="G50" s="766">
        <v>753869</v>
      </c>
      <c r="H50" s="768"/>
      <c r="I50" s="731">
        <f>+ROUND('SP Min'!D112,0)</f>
        <v>753869</v>
      </c>
      <c r="J50" s="731">
        <f>+ROUND('SP Min'!E112,0)</f>
        <v>2094100</v>
      </c>
      <c r="K50" s="828">
        <f t="shared" si="5"/>
        <v>-1340231</v>
      </c>
      <c r="L50" s="727">
        <f t="shared" si="4"/>
        <v>-0.6400033427247982</v>
      </c>
      <c r="M50" s="722"/>
      <c r="N50" s="902"/>
      <c r="Q50" s="732"/>
      <c r="R50" s="732"/>
      <c r="S50" s="732"/>
      <c r="T50" s="732"/>
    </row>
    <row r="51" spans="1:20" s="728" customFormat="1" ht="11.25">
      <c r="A51" s="729"/>
      <c r="B51" s="761"/>
      <c r="C51" s="763"/>
      <c r="D51" s="767" t="s">
        <v>4593</v>
      </c>
      <c r="E51" s="767" t="s">
        <v>4612</v>
      </c>
      <c r="F51" s="765"/>
      <c r="G51" s="768"/>
      <c r="H51" s="768">
        <v>15930649</v>
      </c>
      <c r="I51" s="731">
        <f>+ROUND('SP Min'!D114,0)</f>
        <v>15930649</v>
      </c>
      <c r="J51" s="731">
        <f>+ROUND('SP Min'!E114,0)</f>
        <v>15955773</v>
      </c>
      <c r="K51" s="828">
        <f t="shared" si="5"/>
        <v>-25124</v>
      </c>
      <c r="L51" s="727">
        <f t="shared" si="4"/>
        <v>-1.5746024965384003E-3</v>
      </c>
      <c r="M51" s="722"/>
      <c r="N51" s="902"/>
      <c r="Q51" s="732"/>
      <c r="R51" s="732"/>
      <c r="S51" s="732"/>
      <c r="T51" s="732"/>
    </row>
    <row r="52" spans="1:20" s="728" customFormat="1" ht="11.25">
      <c r="A52" s="729"/>
      <c r="B52" s="761"/>
      <c r="C52" s="763"/>
      <c r="D52" s="767" t="s">
        <v>4601</v>
      </c>
      <c r="E52" s="767" t="s">
        <v>4034</v>
      </c>
      <c r="F52" s="765"/>
      <c r="G52" s="913">
        <f t="shared" ref="G52:H52" si="9">G53+G54+G55+G56</f>
        <v>211185</v>
      </c>
      <c r="H52" s="913">
        <f t="shared" si="9"/>
        <v>1171279</v>
      </c>
      <c r="I52" s="731">
        <f>I53+I54+I55+I56</f>
        <v>1382464</v>
      </c>
      <c r="J52" s="731">
        <f>J53+J54+J55+J56</f>
        <v>1158129</v>
      </c>
      <c r="K52" s="828">
        <f t="shared" si="5"/>
        <v>224335</v>
      </c>
      <c r="L52" s="727">
        <f t="shared" si="4"/>
        <v>0.19370467365897925</v>
      </c>
      <c r="M52" s="722"/>
      <c r="N52" s="840"/>
      <c r="Q52" s="732"/>
      <c r="R52" s="732"/>
      <c r="S52" s="732"/>
      <c r="T52" s="732"/>
    </row>
    <row r="53" spans="1:20" s="728" customFormat="1" ht="11.25">
      <c r="A53" s="729"/>
      <c r="B53" s="761"/>
      <c r="C53" s="763"/>
      <c r="D53" s="763"/>
      <c r="E53" s="763" t="s">
        <v>86</v>
      </c>
      <c r="F53" s="765" t="s">
        <v>4613</v>
      </c>
      <c r="G53" s="766"/>
      <c r="H53" s="768"/>
      <c r="I53" s="731">
        <f>+ROUND('SP Min'!D116,0)</f>
        <v>0</v>
      </c>
      <c r="J53" s="731">
        <f>+ROUND('SP Min'!E116,0)</f>
        <v>0</v>
      </c>
      <c r="K53" s="828">
        <f t="shared" si="5"/>
        <v>0</v>
      </c>
      <c r="L53" s="727" t="str">
        <f t="shared" si="4"/>
        <v xml:space="preserve">-    </v>
      </c>
      <c r="M53" s="722"/>
      <c r="Q53" s="732"/>
      <c r="R53" s="732"/>
      <c r="S53" s="732"/>
      <c r="T53" s="732"/>
    </row>
    <row r="54" spans="1:20" s="728" customFormat="1" ht="11.25">
      <c r="A54" s="729"/>
      <c r="B54" s="761"/>
      <c r="C54" s="763"/>
      <c r="D54" s="763"/>
      <c r="E54" s="763" t="s">
        <v>88</v>
      </c>
      <c r="F54" s="765" t="s">
        <v>4614</v>
      </c>
      <c r="G54" s="766">
        <v>211185</v>
      </c>
      <c r="H54" s="768">
        <v>1171279</v>
      </c>
      <c r="I54" s="731">
        <f>+ROUND('SP Min'!D117,0)</f>
        <v>1382464</v>
      </c>
      <c r="J54" s="731">
        <f>+ROUND('SP Min'!E117,0)</f>
        <v>815169</v>
      </c>
      <c r="K54" s="828">
        <f t="shared" si="5"/>
        <v>567295</v>
      </c>
      <c r="L54" s="727">
        <f t="shared" si="4"/>
        <v>0.69592317666643355</v>
      </c>
      <c r="M54" s="722"/>
      <c r="N54" s="902"/>
      <c r="O54" s="841"/>
      <c r="Q54" s="732"/>
      <c r="R54" s="732"/>
      <c r="S54" s="732"/>
      <c r="T54" s="732"/>
    </row>
    <row r="55" spans="1:20" s="728" customFormat="1" ht="11.25">
      <c r="A55" s="729"/>
      <c r="B55" s="761"/>
      <c r="C55" s="763"/>
      <c r="D55" s="763"/>
      <c r="E55" s="763" t="s">
        <v>116</v>
      </c>
      <c r="F55" s="765" t="s">
        <v>4037</v>
      </c>
      <c r="G55" s="766"/>
      <c r="H55" s="768"/>
      <c r="I55" s="731">
        <f>+ROUND('SP Min'!D118,0)</f>
        <v>0</v>
      </c>
      <c r="J55" s="731">
        <f>+ROUND('SP Min'!E118,0)</f>
        <v>0</v>
      </c>
      <c r="K55" s="828">
        <f t="shared" si="5"/>
        <v>0</v>
      </c>
      <c r="L55" s="727" t="str">
        <f t="shared" si="4"/>
        <v xml:space="preserve">-    </v>
      </c>
      <c r="M55" s="722"/>
      <c r="Q55" s="732"/>
      <c r="R55" s="732"/>
      <c r="S55" s="732"/>
      <c r="T55" s="732"/>
    </row>
    <row r="56" spans="1:20" s="728" customFormat="1" ht="11.25">
      <c r="A56" s="729"/>
      <c r="B56" s="761"/>
      <c r="C56" s="763"/>
      <c r="D56" s="763"/>
      <c r="E56" s="763" t="s">
        <v>4589</v>
      </c>
      <c r="F56" s="765" t="s">
        <v>4615</v>
      </c>
      <c r="G56" s="766"/>
      <c r="H56" s="768"/>
      <c r="I56" s="731">
        <f>+ROUND('SP Min'!D119,0)</f>
        <v>0</v>
      </c>
      <c r="J56" s="731">
        <f>+ROUND('SP Min'!E119,0)</f>
        <v>342960</v>
      </c>
      <c r="K56" s="828">
        <f t="shared" si="5"/>
        <v>-342960</v>
      </c>
      <c r="L56" s="727">
        <f t="shared" si="4"/>
        <v>-1</v>
      </c>
      <c r="M56" s="722"/>
      <c r="Q56" s="732"/>
      <c r="R56" s="732"/>
      <c r="S56" s="732"/>
      <c r="T56" s="732"/>
    </row>
    <row r="57" spans="1:20" s="728" customFormat="1" ht="11.25">
      <c r="A57" s="729"/>
      <c r="B57" s="763"/>
      <c r="C57" s="763"/>
      <c r="D57" s="767" t="s">
        <v>4602</v>
      </c>
      <c r="E57" s="767" t="s">
        <v>4042</v>
      </c>
      <c r="F57" s="769"/>
      <c r="G57" s="766">
        <v>1097</v>
      </c>
      <c r="H57" s="768"/>
      <c r="I57" s="731">
        <f>+ROUND('SP Min'!D120,0)</f>
        <v>1097</v>
      </c>
      <c r="J57" s="731">
        <f>+ROUND('SP Min'!E120,0)</f>
        <v>0</v>
      </c>
      <c r="K57" s="828">
        <f t="shared" si="5"/>
        <v>1097</v>
      </c>
      <c r="L57" s="727" t="str">
        <f t="shared" si="4"/>
        <v xml:space="preserve">-    </v>
      </c>
      <c r="M57" s="722"/>
      <c r="Q57" s="732"/>
      <c r="R57" s="732"/>
      <c r="S57" s="732"/>
      <c r="T57" s="732"/>
    </row>
    <row r="58" spans="1:20" s="728" customFormat="1" ht="11.25">
      <c r="A58" s="729"/>
      <c r="B58" s="763"/>
      <c r="C58" s="763" t="s">
        <v>88</v>
      </c>
      <c r="D58" s="763" t="s">
        <v>4045</v>
      </c>
      <c r="E58" s="763"/>
      <c r="F58" s="765"/>
      <c r="G58" s="913">
        <f t="shared" ref="G58:H58" si="10">G59+G66</f>
        <v>484710</v>
      </c>
      <c r="H58" s="913">
        <f t="shared" si="10"/>
        <v>6187241</v>
      </c>
      <c r="I58" s="731">
        <f>I59+I66</f>
        <v>6671951</v>
      </c>
      <c r="J58" s="731">
        <f>J59+J66</f>
        <v>13362960</v>
      </c>
      <c r="K58" s="828">
        <f t="shared" si="5"/>
        <v>-6691009</v>
      </c>
      <c r="L58" s="727">
        <f t="shared" si="4"/>
        <v>-0.50071309051288038</v>
      </c>
      <c r="M58" s="722"/>
      <c r="N58" s="902"/>
      <c r="O58" s="902"/>
      <c r="Q58" s="732"/>
      <c r="R58" s="732"/>
      <c r="S58" s="732"/>
      <c r="T58" s="732"/>
    </row>
    <row r="59" spans="1:20" s="728" customFormat="1" ht="11.25">
      <c r="A59" s="729"/>
      <c r="B59" s="763"/>
      <c r="C59" s="763"/>
      <c r="D59" s="767" t="s">
        <v>4592</v>
      </c>
      <c r="E59" s="767" t="s">
        <v>4616</v>
      </c>
      <c r="F59" s="769"/>
      <c r="G59" s="913">
        <f t="shared" ref="G59:H59" si="11">G60+G65</f>
        <v>484710</v>
      </c>
      <c r="H59" s="913">
        <f t="shared" si="11"/>
        <v>526805</v>
      </c>
      <c r="I59" s="731">
        <f>I60+I65</f>
        <v>1011515</v>
      </c>
      <c r="J59" s="731">
        <f>J60+J65</f>
        <v>7510780</v>
      </c>
      <c r="K59" s="828">
        <f>+I59-J59</f>
        <v>-6499265</v>
      </c>
      <c r="L59" s="727">
        <f t="shared" si="4"/>
        <v>-0.86532490633462833</v>
      </c>
      <c r="M59" s="722"/>
      <c r="Q59" s="732"/>
      <c r="R59" s="732"/>
      <c r="S59" s="732"/>
      <c r="T59" s="732"/>
    </row>
    <row r="60" spans="1:20" s="728" customFormat="1" ht="11.25">
      <c r="A60" s="729"/>
      <c r="B60" s="763"/>
      <c r="C60" s="763"/>
      <c r="D60" s="763"/>
      <c r="E60" s="763" t="s">
        <v>86</v>
      </c>
      <c r="F60" s="769" t="s">
        <v>4047</v>
      </c>
      <c r="G60" s="913">
        <f t="shared" ref="G60:H60" si="12">G61+G62+G63+G64</f>
        <v>240133</v>
      </c>
      <c r="H60" s="913">
        <f t="shared" si="12"/>
        <v>526805</v>
      </c>
      <c r="I60" s="731">
        <f>I61+I62+I63+I64</f>
        <v>766938</v>
      </c>
      <c r="J60" s="731">
        <f>J61+J62+J63+J64</f>
        <v>6552199</v>
      </c>
      <c r="K60" s="828">
        <f t="shared" si="5"/>
        <v>-5785261</v>
      </c>
      <c r="L60" s="727">
        <f t="shared" si="4"/>
        <v>-0.88294952580042207</v>
      </c>
      <c r="M60" s="722"/>
      <c r="O60" s="902"/>
      <c r="Q60" s="732"/>
      <c r="R60" s="732"/>
      <c r="S60" s="732"/>
      <c r="T60" s="732"/>
    </row>
    <row r="61" spans="1:20" s="728" customFormat="1" ht="22.5">
      <c r="A61" s="729"/>
      <c r="B61" s="763"/>
      <c r="C61" s="763"/>
      <c r="D61" s="763"/>
      <c r="E61" s="763"/>
      <c r="F61" s="770" t="s">
        <v>4617</v>
      </c>
      <c r="G61" s="766"/>
      <c r="H61" s="766">
        <v>526805</v>
      </c>
      <c r="I61" s="731">
        <f>+ROUND('SP Min'!D123+'SP Min'!D124+'SP Min'!D125+'SP Min'!D126+'SP Min'!D130+'SP Min'!D132,0)</f>
        <v>526805</v>
      </c>
      <c r="J61" s="731">
        <f>+ROUND('SP Min'!E123+'SP Min'!E124+'SP Min'!E125+'SP Min'!E126+'SP Min'!E130+'SP Min'!E132,0)</f>
        <v>5257518</v>
      </c>
      <c r="K61" s="828">
        <f t="shared" si="5"/>
        <v>-4730713</v>
      </c>
      <c r="L61" s="727">
        <f t="shared" si="4"/>
        <v>-0.89979967733824207</v>
      </c>
      <c r="M61" s="722"/>
      <c r="Q61" s="732"/>
      <c r="R61" s="732"/>
      <c r="S61" s="732"/>
      <c r="T61" s="732"/>
    </row>
    <row r="62" spans="1:20" s="728" customFormat="1" ht="22.5">
      <c r="A62" s="729"/>
      <c r="B62" s="763"/>
      <c r="C62" s="763"/>
      <c r="D62" s="763"/>
      <c r="E62" s="763"/>
      <c r="F62" s="770" t="s">
        <v>4618</v>
      </c>
      <c r="G62" s="766"/>
      <c r="H62" s="766"/>
      <c r="I62" s="731">
        <f>+ROUND('SP Min'!D127,0)</f>
        <v>0</v>
      </c>
      <c r="J62" s="731">
        <f>+ROUND('SP Min'!E127,0)</f>
        <v>0</v>
      </c>
      <c r="K62" s="828">
        <f t="shared" si="5"/>
        <v>0</v>
      </c>
      <c r="L62" s="727" t="str">
        <f t="shared" si="4"/>
        <v xml:space="preserve">-    </v>
      </c>
      <c r="M62" s="722"/>
      <c r="Q62" s="732"/>
      <c r="R62" s="732"/>
      <c r="S62" s="732"/>
      <c r="T62" s="732"/>
    </row>
    <row r="63" spans="1:20" s="728" customFormat="1" ht="22.5">
      <c r="A63" s="729"/>
      <c r="B63" s="763"/>
      <c r="C63" s="763"/>
      <c r="D63" s="763"/>
      <c r="E63" s="763"/>
      <c r="F63" s="770" t="s">
        <v>4619</v>
      </c>
      <c r="G63" s="766"/>
      <c r="H63" s="766"/>
      <c r="I63" s="731">
        <f>+ROUND('SP Min'!D128,0)</f>
        <v>0</v>
      </c>
      <c r="J63" s="731">
        <f>+ROUND('SP Min'!E128,0)</f>
        <v>0</v>
      </c>
      <c r="K63" s="828">
        <f t="shared" si="5"/>
        <v>0</v>
      </c>
      <c r="L63" s="727" t="str">
        <f t="shared" si="4"/>
        <v xml:space="preserve">-    </v>
      </c>
      <c r="M63" s="722"/>
      <c r="Q63" s="732"/>
      <c r="R63" s="732"/>
      <c r="S63" s="732"/>
      <c r="T63" s="732"/>
    </row>
    <row r="64" spans="1:20" s="728" customFormat="1" ht="22.5">
      <c r="A64" s="729"/>
      <c r="B64" s="763"/>
      <c r="C64" s="763"/>
      <c r="D64" s="763"/>
      <c r="E64" s="763"/>
      <c r="F64" s="770" t="s">
        <v>4620</v>
      </c>
      <c r="G64" s="766">
        <v>240133</v>
      </c>
      <c r="H64" s="771"/>
      <c r="I64" s="731">
        <f>+ROUND('SP Min'!D129,0)</f>
        <v>240133</v>
      </c>
      <c r="J64" s="731">
        <f>+ROUND('SP Min'!E129,0)</f>
        <v>1294681</v>
      </c>
      <c r="K64" s="828">
        <f t="shared" si="5"/>
        <v>-1054548</v>
      </c>
      <c r="L64" s="727">
        <f t="shared" si="4"/>
        <v>-0.81452342314438841</v>
      </c>
      <c r="M64" s="722"/>
      <c r="Q64" s="732"/>
      <c r="R64" s="732"/>
      <c r="S64" s="732"/>
      <c r="T64" s="732"/>
    </row>
    <row r="65" spans="1:20" s="728" customFormat="1" ht="11.25">
      <c r="A65" s="729"/>
      <c r="B65" s="763"/>
      <c r="C65" s="763"/>
      <c r="D65" s="763"/>
      <c r="E65" s="763" t="s">
        <v>88</v>
      </c>
      <c r="F65" s="763" t="s">
        <v>4057</v>
      </c>
      <c r="G65" s="766">
        <v>244577</v>
      </c>
      <c r="H65" s="771"/>
      <c r="I65" s="731">
        <f>+ROUND('SP Min'!D131,0)</f>
        <v>244577</v>
      </c>
      <c r="J65" s="731">
        <f>+ROUND('SP Min'!E131,0)</f>
        <v>958581</v>
      </c>
      <c r="K65" s="828">
        <f t="shared" si="5"/>
        <v>-714004</v>
      </c>
      <c r="L65" s="727">
        <f t="shared" si="4"/>
        <v>-0.74485515569367633</v>
      </c>
      <c r="M65" s="722"/>
      <c r="Q65" s="732"/>
      <c r="R65" s="732"/>
      <c r="S65" s="732"/>
      <c r="T65" s="732"/>
    </row>
    <row r="66" spans="1:20" s="728" customFormat="1" ht="11.25">
      <c r="A66" s="729"/>
      <c r="B66" s="763"/>
      <c r="C66" s="763"/>
      <c r="D66" s="767" t="s">
        <v>4593</v>
      </c>
      <c r="E66" s="767" t="s">
        <v>4621</v>
      </c>
      <c r="F66" s="769"/>
      <c r="G66" s="913">
        <f t="shared" ref="G66:H66" si="13">G67+G68+G69+G70</f>
        <v>0</v>
      </c>
      <c r="H66" s="913">
        <f t="shared" si="13"/>
        <v>5660436</v>
      </c>
      <c r="I66" s="731">
        <f>I67+I68+I69+I70</f>
        <v>5660436</v>
      </c>
      <c r="J66" s="731">
        <f>J67+J68+J69+J70</f>
        <v>5852180</v>
      </c>
      <c r="K66" s="828">
        <f t="shared" si="5"/>
        <v>-191744</v>
      </c>
      <c r="L66" s="727">
        <f t="shared" si="4"/>
        <v>-3.2764542444012314E-2</v>
      </c>
      <c r="M66" s="722"/>
      <c r="Q66" s="732"/>
      <c r="R66" s="732"/>
      <c r="S66" s="732"/>
      <c r="T66" s="732"/>
    </row>
    <row r="67" spans="1:20" s="728" customFormat="1" ht="11.25">
      <c r="A67" s="729"/>
      <c r="B67" s="763"/>
      <c r="C67" s="763"/>
      <c r="D67" s="763"/>
      <c r="E67" s="763" t="s">
        <v>86</v>
      </c>
      <c r="F67" s="769" t="s">
        <v>4622</v>
      </c>
      <c r="G67" s="766"/>
      <c r="H67" s="771">
        <v>5660436</v>
      </c>
      <c r="I67" s="731">
        <f>+ROUND('SP Min'!D134,0)</f>
        <v>5660436</v>
      </c>
      <c r="J67" s="731">
        <f>+ROUND('SP Min'!E134,0)</f>
        <v>5852180</v>
      </c>
      <c r="K67" s="828">
        <f t="shared" si="5"/>
        <v>-191744</v>
      </c>
      <c r="L67" s="727">
        <f t="shared" si="4"/>
        <v>-3.2764542444012314E-2</v>
      </c>
      <c r="M67" s="722"/>
      <c r="Q67" s="732"/>
      <c r="R67" s="732"/>
      <c r="S67" s="732"/>
      <c r="T67" s="732"/>
    </row>
    <row r="68" spans="1:20" s="728" customFormat="1" ht="11.25">
      <c r="A68" s="729"/>
      <c r="B68" s="763"/>
      <c r="C68" s="763"/>
      <c r="D68" s="763"/>
      <c r="E68" s="763" t="s">
        <v>88</v>
      </c>
      <c r="F68" s="769" t="s">
        <v>4623</v>
      </c>
      <c r="G68" s="766"/>
      <c r="H68" s="771"/>
      <c r="I68" s="731">
        <f>+ROUND('SP Min'!D135,0)</f>
        <v>0</v>
      </c>
      <c r="J68" s="731">
        <f>+ROUND('SP Min'!E135,0)</f>
        <v>0</v>
      </c>
      <c r="K68" s="828">
        <f t="shared" si="5"/>
        <v>0</v>
      </c>
      <c r="L68" s="727" t="str">
        <f t="shared" si="4"/>
        <v xml:space="preserve">-    </v>
      </c>
      <c r="M68" s="722"/>
      <c r="Q68" s="732"/>
      <c r="R68" s="732"/>
      <c r="S68" s="732"/>
      <c r="T68" s="732"/>
    </row>
    <row r="69" spans="1:20" s="728" customFormat="1" ht="11.25">
      <c r="A69" s="729"/>
      <c r="B69" s="763"/>
      <c r="C69" s="763"/>
      <c r="D69" s="763"/>
      <c r="E69" s="763" t="s">
        <v>116</v>
      </c>
      <c r="F69" s="769" t="s">
        <v>4067</v>
      </c>
      <c r="G69" s="766"/>
      <c r="H69" s="771"/>
      <c r="I69" s="731">
        <f>+ROUND('SP Min'!D136+'SP Min'!D137+'SP Min'!D140+'SP Min'!D141+'SP Min'!D139,0)</f>
        <v>0</v>
      </c>
      <c r="J69" s="731">
        <f>+ROUND('SP Min'!E136+'SP Min'!E137+'SP Min'!E140+'SP Min'!E141+'SP Min'!E139,0)</f>
        <v>0</v>
      </c>
      <c r="K69" s="828">
        <f t="shared" si="5"/>
        <v>0</v>
      </c>
      <c r="L69" s="727" t="str">
        <f t="shared" si="4"/>
        <v xml:space="preserve">-    </v>
      </c>
      <c r="M69" s="722"/>
      <c r="Q69" s="732"/>
      <c r="R69" s="732"/>
      <c r="S69" s="732"/>
      <c r="T69" s="732"/>
    </row>
    <row r="70" spans="1:20" s="728" customFormat="1" ht="33.75">
      <c r="A70" s="729"/>
      <c r="B70" s="761"/>
      <c r="C70" s="763"/>
      <c r="D70" s="761"/>
      <c r="E70" s="763" t="s">
        <v>4589</v>
      </c>
      <c r="F70" s="772" t="s">
        <v>4071</v>
      </c>
      <c r="G70" s="766"/>
      <c r="H70" s="766"/>
      <c r="I70" s="731">
        <f>+ROUND('SP Min'!D139,0)</f>
        <v>0</v>
      </c>
      <c r="J70" s="731">
        <f>+ROUND('SP Min'!E139,0)</f>
        <v>0</v>
      </c>
      <c r="K70" s="828">
        <f t="shared" si="5"/>
        <v>0</v>
      </c>
      <c r="L70" s="727" t="str">
        <f t="shared" si="4"/>
        <v xml:space="preserve">-    </v>
      </c>
      <c r="M70" s="722"/>
      <c r="O70" s="914"/>
      <c r="Q70" s="732"/>
      <c r="R70" s="732"/>
      <c r="S70" s="732"/>
      <c r="T70" s="732"/>
    </row>
    <row r="71" spans="1:20" s="728" customFormat="1" ht="11.25">
      <c r="A71" s="729"/>
      <c r="B71" s="761"/>
      <c r="C71" s="763" t="s">
        <v>116</v>
      </c>
      <c r="D71" s="763" t="s">
        <v>4076</v>
      </c>
      <c r="E71" s="730"/>
      <c r="F71" s="769"/>
      <c r="G71" s="766"/>
      <c r="H71" s="766"/>
      <c r="I71" s="731">
        <f>+ROUND('SP Min'!D142,0)</f>
        <v>0</v>
      </c>
      <c r="J71" s="731">
        <f>+ROUND('SP Min'!E142,0)</f>
        <v>0</v>
      </c>
      <c r="K71" s="828">
        <f t="shared" si="5"/>
        <v>0</v>
      </c>
      <c r="L71" s="727" t="str">
        <f t="shared" si="4"/>
        <v xml:space="preserve">-    </v>
      </c>
      <c r="M71" s="722"/>
      <c r="O71" s="914"/>
      <c r="Q71" s="732"/>
      <c r="R71" s="732"/>
      <c r="S71" s="732"/>
      <c r="T71" s="732"/>
    </row>
    <row r="72" spans="1:20" s="728" customFormat="1" ht="11.25">
      <c r="A72" s="729"/>
      <c r="B72" s="761"/>
      <c r="C72" s="763" t="s">
        <v>4589</v>
      </c>
      <c r="D72" s="763" t="s">
        <v>4624</v>
      </c>
      <c r="E72" s="763"/>
      <c r="F72" s="769"/>
      <c r="G72" s="913">
        <f t="shared" ref="G72:H72" si="14">G73+G74</f>
        <v>7185459</v>
      </c>
      <c r="H72" s="913">
        <f t="shared" si="14"/>
        <v>603504</v>
      </c>
      <c r="I72" s="731">
        <f>I73+I74</f>
        <v>7788963</v>
      </c>
      <c r="J72" s="731">
        <f>J73+J74</f>
        <v>6777967</v>
      </c>
      <c r="K72" s="828">
        <f t="shared" si="5"/>
        <v>1010996</v>
      </c>
      <c r="L72" s="727">
        <f t="shared" si="4"/>
        <v>0.14915918003141651</v>
      </c>
      <c r="M72" s="722"/>
      <c r="Q72" s="732"/>
      <c r="R72" s="732"/>
      <c r="S72" s="732"/>
      <c r="T72" s="732"/>
    </row>
    <row r="73" spans="1:20" s="728" customFormat="1" ht="11.25">
      <c r="A73" s="729"/>
      <c r="B73" s="761"/>
      <c r="C73" s="763"/>
      <c r="D73" s="767" t="s">
        <v>4592</v>
      </c>
      <c r="E73" s="767" t="s">
        <v>4080</v>
      </c>
      <c r="F73" s="769"/>
      <c r="G73" s="766">
        <v>7095640</v>
      </c>
      <c r="H73" s="766"/>
      <c r="I73" s="731">
        <f>+ROUND('SP Min'!D144+'SP Min'!D148+'SP Min'!D149+'SP Min'!D151,0)</f>
        <v>7095641</v>
      </c>
      <c r="J73" s="731">
        <f>+ROUND('SP Min'!E144+'SP Min'!E148+'SP Min'!E149+'SP Min'!E151,0)</f>
        <v>6507412</v>
      </c>
      <c r="K73" s="828">
        <f t="shared" si="5"/>
        <v>588229</v>
      </c>
      <c r="L73" s="727">
        <f t="shared" si="4"/>
        <v>9.0393692607752513E-2</v>
      </c>
      <c r="M73" s="722"/>
      <c r="Q73" s="732"/>
      <c r="R73" s="732"/>
      <c r="S73" s="732"/>
      <c r="T73" s="732"/>
    </row>
    <row r="74" spans="1:20" s="728" customFormat="1" ht="11.25">
      <c r="A74" s="729"/>
      <c r="B74" s="761"/>
      <c r="C74" s="763"/>
      <c r="D74" s="767" t="s">
        <v>4593</v>
      </c>
      <c r="E74" s="767" t="s">
        <v>4625</v>
      </c>
      <c r="F74" s="769"/>
      <c r="G74" s="766">
        <v>89819</v>
      </c>
      <c r="H74" s="766">
        <v>603504</v>
      </c>
      <c r="I74" s="731">
        <f>+ROUND('SP Min'!D150,0)</f>
        <v>693322</v>
      </c>
      <c r="J74" s="731">
        <f>+ROUND('SP Min'!E150,0)</f>
        <v>270555</v>
      </c>
      <c r="K74" s="828">
        <f t="shared" si="5"/>
        <v>422767</v>
      </c>
      <c r="L74" s="727">
        <f t="shared" si="4"/>
        <v>1.5625917096339006</v>
      </c>
      <c r="M74" s="722"/>
      <c r="Q74" s="732"/>
      <c r="R74" s="732"/>
      <c r="S74" s="732"/>
      <c r="T74" s="732"/>
    </row>
    <row r="75" spans="1:20" s="728" customFormat="1" ht="11.25">
      <c r="A75" s="729"/>
      <c r="B75" s="761"/>
      <c r="C75" s="763" t="s">
        <v>4590</v>
      </c>
      <c r="D75" s="763" t="s">
        <v>4091</v>
      </c>
      <c r="E75" s="763"/>
      <c r="F75" s="769"/>
      <c r="G75" s="766"/>
      <c r="H75" s="766"/>
      <c r="I75" s="731">
        <f>+ROUND('SP Min'!D152,0)</f>
        <v>0</v>
      </c>
      <c r="J75" s="731">
        <f>+ROUND('SP Min'!E152,0)</f>
        <v>0</v>
      </c>
      <c r="K75" s="828">
        <f t="shared" si="5"/>
        <v>0</v>
      </c>
      <c r="L75" s="727" t="str">
        <f t="shared" si="4"/>
        <v xml:space="preserve">-    </v>
      </c>
      <c r="M75" s="722"/>
      <c r="Q75" s="732"/>
      <c r="R75" s="732"/>
      <c r="S75" s="732"/>
      <c r="T75" s="732"/>
    </row>
    <row r="76" spans="1:20" s="728" customFormat="1" ht="11.25">
      <c r="A76" s="729"/>
      <c r="B76" s="761"/>
      <c r="C76" s="763" t="s">
        <v>4594</v>
      </c>
      <c r="D76" s="763" t="s">
        <v>4095</v>
      </c>
      <c r="E76" s="763"/>
      <c r="F76" s="769"/>
      <c r="G76" s="766"/>
      <c r="H76" s="766"/>
      <c r="I76" s="773">
        <f>+ROUND('SP Min'!D156,0)</f>
        <v>0</v>
      </c>
      <c r="J76" s="773">
        <f>+ROUND('SP Min'!E156,0)</f>
        <v>0</v>
      </c>
      <c r="K76" s="828">
        <f t="shared" si="5"/>
        <v>0</v>
      </c>
      <c r="L76" s="727" t="str">
        <f t="shared" si="4"/>
        <v xml:space="preserve">-    </v>
      </c>
      <c r="M76" s="722"/>
      <c r="Q76" s="732"/>
      <c r="R76" s="732"/>
      <c r="S76" s="732"/>
      <c r="T76" s="732"/>
    </row>
    <row r="77" spans="1:20" s="728" customFormat="1" ht="11.25">
      <c r="A77" s="729"/>
      <c r="B77" s="761"/>
      <c r="C77" s="763" t="s">
        <v>4595</v>
      </c>
      <c r="D77" s="763" t="s">
        <v>4100</v>
      </c>
      <c r="E77" s="763"/>
      <c r="F77" s="769"/>
      <c r="G77" s="774">
        <v>2994988</v>
      </c>
      <c r="H77" s="774">
        <v>509819</v>
      </c>
      <c r="I77" s="731">
        <f>+ROUND('SP Min'!D157,0)</f>
        <v>3504807</v>
      </c>
      <c r="J77" s="773">
        <f>+ROUND('SP Min'!E157,0)</f>
        <v>2911882</v>
      </c>
      <c r="K77" s="828">
        <f t="shared" si="5"/>
        <v>592925</v>
      </c>
      <c r="L77" s="727">
        <f t="shared" si="4"/>
        <v>0.20362260558635276</v>
      </c>
      <c r="M77" s="722"/>
      <c r="Q77" s="732"/>
      <c r="R77" s="732"/>
      <c r="S77" s="732"/>
      <c r="T77" s="732"/>
    </row>
    <row r="78" spans="1:20" s="717" customFormat="1" ht="11.25">
      <c r="A78" s="759"/>
      <c r="B78" s="761" t="s">
        <v>125</v>
      </c>
      <c r="C78" s="775" t="s">
        <v>4626</v>
      </c>
      <c r="D78" s="761"/>
      <c r="E78" s="761"/>
      <c r="F78" s="775"/>
      <c r="G78" s="761"/>
      <c r="H78" s="761"/>
      <c r="I78" s="776">
        <f>SUM(I79:I80)</f>
        <v>0</v>
      </c>
      <c r="J78" s="776">
        <f>SUM(J79:J80)</f>
        <v>0</v>
      </c>
      <c r="K78" s="828">
        <f t="shared" si="5"/>
        <v>0</v>
      </c>
      <c r="L78" s="716" t="str">
        <f t="shared" si="4"/>
        <v xml:space="preserve">-    </v>
      </c>
      <c r="M78" s="722"/>
      <c r="Q78" s="734"/>
      <c r="R78" s="734"/>
      <c r="S78" s="734"/>
      <c r="T78" s="734"/>
    </row>
    <row r="79" spans="1:20" s="728" customFormat="1" ht="11.25">
      <c r="A79" s="729"/>
      <c r="B79" s="761"/>
      <c r="C79" s="763" t="s">
        <v>86</v>
      </c>
      <c r="D79" s="763" t="s">
        <v>4124</v>
      </c>
      <c r="E79" s="761"/>
      <c r="F79" s="730"/>
      <c r="G79" s="763"/>
      <c r="H79" s="763"/>
      <c r="I79" s="773">
        <f>+ROUND('SP Min'!D169,0)</f>
        <v>0</v>
      </c>
      <c r="J79" s="773">
        <f>+ROUND('SP Min'!E169,0)</f>
        <v>0</v>
      </c>
      <c r="K79" s="828">
        <f t="shared" si="5"/>
        <v>0</v>
      </c>
      <c r="L79" s="727" t="str">
        <f t="shared" si="4"/>
        <v xml:space="preserve">-    </v>
      </c>
      <c r="M79" s="722"/>
      <c r="Q79" s="732"/>
      <c r="R79" s="732"/>
      <c r="S79" s="732"/>
      <c r="T79" s="732"/>
    </row>
    <row r="80" spans="1:20" s="728" customFormat="1" ht="11.25">
      <c r="A80" s="759"/>
      <c r="B80" s="761"/>
      <c r="C80" s="763" t="s">
        <v>88</v>
      </c>
      <c r="D80" s="763" t="s">
        <v>4129</v>
      </c>
      <c r="E80" s="761"/>
      <c r="F80" s="777"/>
      <c r="G80" s="763"/>
      <c r="H80" s="763"/>
      <c r="I80" s="773">
        <f>+ROUND('SP Min'!D170,0)</f>
        <v>0</v>
      </c>
      <c r="J80" s="773">
        <f>+ROUND('SP Min'!E170,0)</f>
        <v>0</v>
      </c>
      <c r="K80" s="828">
        <f t="shared" si="5"/>
        <v>0</v>
      </c>
      <c r="L80" s="727" t="str">
        <f t="shared" si="4"/>
        <v xml:space="preserve">-    </v>
      </c>
      <c r="M80" s="722"/>
      <c r="Q80" s="732"/>
      <c r="R80" s="732"/>
      <c r="S80" s="732"/>
      <c r="T80" s="732"/>
    </row>
    <row r="81" spans="1:20" s="717" customFormat="1" ht="11.25">
      <c r="A81" s="718"/>
      <c r="B81" s="761" t="s">
        <v>126</v>
      </c>
      <c r="C81" s="775" t="s">
        <v>4627</v>
      </c>
      <c r="D81" s="761"/>
      <c r="E81" s="761"/>
      <c r="F81" s="711"/>
      <c r="G81" s="761"/>
      <c r="H81" s="761"/>
      <c r="I81" s="778">
        <f>SUM(I82:I85)</f>
        <v>38999112</v>
      </c>
      <c r="J81" s="779">
        <f>SUM(J82:J85)</f>
        <v>32313373</v>
      </c>
      <c r="K81" s="828">
        <f t="shared" si="5"/>
        <v>6685739</v>
      </c>
      <c r="L81" s="716">
        <f t="shared" si="4"/>
        <v>0.20690316049642976</v>
      </c>
      <c r="M81" s="722"/>
      <c r="Q81" s="734"/>
      <c r="R81" s="734"/>
      <c r="S81" s="734"/>
      <c r="T81" s="734"/>
    </row>
    <row r="82" spans="1:20" s="728" customFormat="1" ht="11.25">
      <c r="A82" s="759"/>
      <c r="B82" s="761"/>
      <c r="C82" s="761" t="s">
        <v>86</v>
      </c>
      <c r="D82" s="769" t="s">
        <v>4132</v>
      </c>
      <c r="E82" s="761"/>
      <c r="F82" s="769"/>
      <c r="G82" s="763"/>
      <c r="H82" s="763"/>
      <c r="I82" s="731">
        <f>+ROUND('SP Min'!D172,0)</f>
        <v>42835</v>
      </c>
      <c r="J82" s="773">
        <f>+ROUND('SP Min'!E172,0)</f>
        <v>38467</v>
      </c>
      <c r="K82" s="828">
        <f t="shared" si="5"/>
        <v>4368</v>
      </c>
      <c r="L82" s="727">
        <f t="shared" si="4"/>
        <v>0.11355187563366002</v>
      </c>
      <c r="M82" s="722"/>
      <c r="Q82" s="732"/>
      <c r="R82" s="732"/>
      <c r="S82" s="732"/>
      <c r="T82" s="732"/>
    </row>
    <row r="83" spans="1:20" s="728" customFormat="1" ht="11.25">
      <c r="A83" s="729"/>
      <c r="B83" s="761"/>
      <c r="C83" s="761" t="s">
        <v>88</v>
      </c>
      <c r="D83" s="769" t="s">
        <v>4153</v>
      </c>
      <c r="E83" s="761"/>
      <c r="F83" s="730"/>
      <c r="G83" s="763"/>
      <c r="H83" s="780"/>
      <c r="I83" s="731">
        <f>+ROUND('SP Min'!D173,0)</f>
        <v>38955437</v>
      </c>
      <c r="J83" s="773">
        <f>+ROUND('SP Min'!E173,0)</f>
        <v>32271024</v>
      </c>
      <c r="K83" s="828">
        <f t="shared" si="5"/>
        <v>6684413</v>
      </c>
      <c r="L83" s="727">
        <f t="shared" si="4"/>
        <v>0.2071335883236925</v>
      </c>
      <c r="M83" s="722"/>
      <c r="Q83" s="732"/>
      <c r="R83" s="732"/>
      <c r="S83" s="732"/>
      <c r="T83" s="732"/>
    </row>
    <row r="84" spans="1:20" s="728" customFormat="1" ht="11.25">
      <c r="A84" s="729"/>
      <c r="B84" s="761"/>
      <c r="C84" s="761" t="s">
        <v>116</v>
      </c>
      <c r="D84" s="769" t="s">
        <v>4158</v>
      </c>
      <c r="E84" s="761"/>
      <c r="F84" s="730"/>
      <c r="G84" s="763"/>
      <c r="H84" s="763"/>
      <c r="I84" s="731">
        <f>+ROUND('SP Min'!D174,0)</f>
        <v>0</v>
      </c>
      <c r="J84" s="773">
        <f>+ROUND('SP Min'!E174,0)</f>
        <v>0</v>
      </c>
      <c r="K84" s="828">
        <f t="shared" si="5"/>
        <v>0</v>
      </c>
      <c r="L84" s="727" t="str">
        <f t="shared" si="4"/>
        <v xml:space="preserve">-    </v>
      </c>
      <c r="M84" s="722"/>
      <c r="Q84" s="732"/>
      <c r="R84" s="732"/>
      <c r="S84" s="732"/>
      <c r="T84" s="732"/>
    </row>
    <row r="85" spans="1:20" s="728" customFormat="1" ht="11.25">
      <c r="A85" s="729"/>
      <c r="B85" s="761"/>
      <c r="C85" s="761" t="s">
        <v>4589</v>
      </c>
      <c r="D85" s="769" t="s">
        <v>4160</v>
      </c>
      <c r="E85" s="761"/>
      <c r="F85" s="730"/>
      <c r="G85" s="763"/>
      <c r="H85" s="763"/>
      <c r="I85" s="731">
        <f>+ROUND('SP Min'!D175,0)</f>
        <v>840</v>
      </c>
      <c r="J85" s="773">
        <f>+ROUND('SP Min'!E175,0)</f>
        <v>3882</v>
      </c>
      <c r="K85" s="721">
        <f t="shared" si="5"/>
        <v>-3042</v>
      </c>
      <c r="L85" s="727">
        <f t="shared" si="4"/>
        <v>-0.78361669242658427</v>
      </c>
      <c r="M85" s="722"/>
      <c r="Q85" s="732"/>
      <c r="R85" s="732"/>
      <c r="S85" s="732"/>
      <c r="T85" s="732"/>
    </row>
    <row r="86" spans="1:20" s="717" customFormat="1" ht="11.25">
      <c r="A86" s="961" t="s">
        <v>4628</v>
      </c>
      <c r="B86" s="962"/>
      <c r="C86" s="962"/>
      <c r="D86" s="962"/>
      <c r="E86" s="962"/>
      <c r="F86" s="962"/>
      <c r="G86" s="975"/>
      <c r="H86" s="962"/>
      <c r="I86" s="753">
        <f>I40+I46+I78+I81</f>
        <v>79130004</v>
      </c>
      <c r="J86" s="753">
        <f>J40+J46+J78+J81</f>
        <v>78686220</v>
      </c>
      <c r="K86" s="755">
        <f t="shared" si="5"/>
        <v>443784</v>
      </c>
      <c r="L86" s="147">
        <f>IF(J86=0,"-    ",K86/J86)</f>
        <v>5.6399201791622472E-3</v>
      </c>
      <c r="M86" s="722"/>
      <c r="O86" s="906"/>
      <c r="Q86" s="734"/>
      <c r="R86" s="734"/>
      <c r="S86" s="734"/>
      <c r="T86" s="734"/>
    </row>
    <row r="87" spans="1:20" s="717" customFormat="1" ht="11.25">
      <c r="A87" s="759" t="s">
        <v>84</v>
      </c>
      <c r="B87" s="760" t="s">
        <v>4182</v>
      </c>
      <c r="C87" s="761"/>
      <c r="D87" s="761"/>
      <c r="E87" s="761"/>
      <c r="F87" s="711"/>
      <c r="G87" s="781"/>
      <c r="H87" s="782"/>
      <c r="I87" s="783"/>
      <c r="J87" s="783"/>
      <c r="K87" s="721">
        <f t="shared" si="5"/>
        <v>0</v>
      </c>
      <c r="L87" s="727" t="str">
        <f t="shared" ref="L87" si="15">IF(J87=0,"-    ",K87/K87)</f>
        <v xml:space="preserve">-    </v>
      </c>
      <c r="M87" s="722"/>
      <c r="Q87" s="734"/>
      <c r="R87" s="734"/>
      <c r="S87" s="734"/>
      <c r="T87" s="734"/>
    </row>
    <row r="88" spans="1:20" s="717" customFormat="1" ht="11.25">
      <c r="A88" s="759"/>
      <c r="B88" s="761" t="s">
        <v>123</v>
      </c>
      <c r="C88" s="760" t="s">
        <v>4184</v>
      </c>
      <c r="D88" s="761"/>
      <c r="E88" s="761"/>
      <c r="F88" s="775"/>
      <c r="G88" s="761"/>
      <c r="H88" s="782"/>
      <c r="I88" s="773">
        <f>+ROUND('SP Min'!D177,0)</f>
        <v>4128</v>
      </c>
      <c r="J88" s="773">
        <f>+ROUND('SP Min'!E177,0)</f>
        <v>56877</v>
      </c>
      <c r="K88" s="721">
        <f t="shared" si="5"/>
        <v>-52749</v>
      </c>
      <c r="L88" s="727">
        <f t="shared" si="4"/>
        <v>-0.92742233240149796</v>
      </c>
      <c r="M88" s="722"/>
      <c r="Q88" s="734"/>
      <c r="R88" s="734"/>
      <c r="S88" s="734"/>
      <c r="T88" s="734"/>
    </row>
    <row r="89" spans="1:20" s="717" customFormat="1" ht="11.25">
      <c r="A89" s="759"/>
      <c r="B89" s="761" t="s">
        <v>124</v>
      </c>
      <c r="C89" s="760" t="s">
        <v>4189</v>
      </c>
      <c r="D89" s="761"/>
      <c r="E89" s="761"/>
      <c r="F89" s="711"/>
      <c r="G89" s="784"/>
      <c r="H89" s="782"/>
      <c r="I89" s="773">
        <f>+ROUND('SP Min'!D180,0)</f>
        <v>30638</v>
      </c>
      <c r="J89" s="773">
        <f>+ROUND('SP Min'!E180,0)</f>
        <v>40357</v>
      </c>
      <c r="K89" s="721">
        <f t="shared" si="5"/>
        <v>-9719</v>
      </c>
      <c r="L89" s="727">
        <f t="shared" si="4"/>
        <v>-0.24082563124117254</v>
      </c>
      <c r="M89" s="722"/>
      <c r="Q89" s="734"/>
      <c r="R89" s="734"/>
      <c r="S89" s="734"/>
      <c r="T89" s="734"/>
    </row>
    <row r="90" spans="1:20" s="717" customFormat="1" ht="11.25">
      <c r="A90" s="961" t="s">
        <v>4629</v>
      </c>
      <c r="B90" s="962"/>
      <c r="C90" s="962"/>
      <c r="D90" s="962"/>
      <c r="E90" s="962"/>
      <c r="F90" s="962"/>
      <c r="G90" s="964"/>
      <c r="H90" s="962"/>
      <c r="I90" s="753">
        <f>SUM(I88:I89)</f>
        <v>34766</v>
      </c>
      <c r="J90" s="753">
        <f>SUM(J88:J89)</f>
        <v>97234</v>
      </c>
      <c r="K90" s="755">
        <f t="shared" si="5"/>
        <v>-62468</v>
      </c>
      <c r="L90" s="147">
        <f t="shared" si="4"/>
        <v>-0.64245017175062225</v>
      </c>
      <c r="M90" s="722"/>
      <c r="Q90" s="734"/>
      <c r="R90" s="734"/>
      <c r="S90" s="734"/>
      <c r="T90" s="734"/>
    </row>
    <row r="91" spans="1:20" s="717" customFormat="1" ht="5.45" customHeight="1" thickBot="1">
      <c r="A91" s="785"/>
      <c r="B91" s="775"/>
      <c r="C91" s="775"/>
      <c r="D91" s="775"/>
      <c r="E91" s="775"/>
      <c r="F91" s="775"/>
      <c r="G91" s="775"/>
      <c r="H91" s="775"/>
      <c r="I91" s="786"/>
      <c r="J91" s="786"/>
      <c r="K91" s="787"/>
      <c r="L91" s="727"/>
      <c r="M91" s="722"/>
      <c r="Q91" s="734"/>
      <c r="R91" s="734"/>
      <c r="S91" s="734"/>
      <c r="T91" s="734"/>
    </row>
    <row r="92" spans="1:20" s="717" customFormat="1" ht="12" thickBot="1">
      <c r="A92" s="942" t="s">
        <v>4630</v>
      </c>
      <c r="B92" s="943"/>
      <c r="C92" s="943"/>
      <c r="D92" s="943"/>
      <c r="E92" s="943"/>
      <c r="F92" s="943"/>
      <c r="G92" s="943"/>
      <c r="H92" s="943"/>
      <c r="I92" s="788">
        <f>I37+I86+I90</f>
        <v>111563634</v>
      </c>
      <c r="J92" s="788">
        <f>J37+J86+J90</f>
        <v>109775459</v>
      </c>
      <c r="K92" s="789">
        <f>+I92-J92</f>
        <v>1788175</v>
      </c>
      <c r="L92" s="148">
        <f t="shared" si="4"/>
        <v>1.6289387594362052E-2</v>
      </c>
      <c r="M92" s="722"/>
      <c r="N92" s="722"/>
      <c r="Q92" s="734"/>
      <c r="R92" s="734"/>
      <c r="S92" s="734"/>
      <c r="T92" s="734"/>
    </row>
    <row r="93" spans="1:20" s="717" customFormat="1" ht="11.25">
      <c r="A93" s="759" t="s">
        <v>92</v>
      </c>
      <c r="B93" s="760" t="s">
        <v>3915</v>
      </c>
      <c r="C93" s="761"/>
      <c r="D93" s="761"/>
      <c r="E93" s="761"/>
      <c r="F93" s="711"/>
      <c r="G93" s="761"/>
      <c r="H93" s="782"/>
      <c r="I93" s="783"/>
      <c r="J93" s="783"/>
      <c r="K93" s="787"/>
      <c r="L93" s="727"/>
      <c r="M93" s="722"/>
      <c r="Q93" s="734"/>
      <c r="R93" s="734"/>
      <c r="S93" s="734"/>
      <c r="T93" s="734"/>
    </row>
    <row r="94" spans="1:20" s="717" customFormat="1" ht="11.25">
      <c r="A94" s="759"/>
      <c r="B94" s="763" t="s">
        <v>4631</v>
      </c>
      <c r="C94" s="790" t="s">
        <v>4632</v>
      </c>
      <c r="D94" s="763"/>
      <c r="E94" s="763"/>
      <c r="F94" s="769"/>
      <c r="G94" s="761"/>
      <c r="H94" s="782"/>
      <c r="I94" s="773">
        <f>+ROUND('SP Min'!D185,0)</f>
        <v>116759</v>
      </c>
      <c r="J94" s="773">
        <f>+ROUND('SP Min'!E185,0)</f>
        <v>20264</v>
      </c>
      <c r="K94" s="721">
        <f>+I94-J94</f>
        <v>96495</v>
      </c>
      <c r="L94" s="716">
        <f t="shared" si="4"/>
        <v>4.7618930122384526</v>
      </c>
      <c r="M94" s="722"/>
      <c r="Q94" s="734"/>
      <c r="R94" s="734"/>
      <c r="S94" s="734"/>
      <c r="T94" s="734"/>
    </row>
    <row r="95" spans="1:20" s="717" customFormat="1" ht="11.25">
      <c r="A95" s="759"/>
      <c r="B95" s="763" t="s">
        <v>88</v>
      </c>
      <c r="C95" s="769" t="s">
        <v>3894</v>
      </c>
      <c r="D95" s="763"/>
      <c r="E95" s="763"/>
      <c r="F95" s="730"/>
      <c r="G95" s="761"/>
      <c r="H95" s="782"/>
      <c r="I95" s="773">
        <f>+ROUND('SP Min'!D186,0)</f>
        <v>0</v>
      </c>
      <c r="J95" s="773">
        <f>+ROUND('SP Min'!E186,0)</f>
        <v>0</v>
      </c>
      <c r="K95" s="721">
        <f t="shared" ref="K95:K98" si="16">+I95-J95</f>
        <v>0</v>
      </c>
      <c r="L95" s="716" t="str">
        <f t="shared" si="4"/>
        <v xml:space="preserve">-    </v>
      </c>
      <c r="M95" s="722"/>
      <c r="Q95" s="734"/>
      <c r="R95" s="734"/>
      <c r="S95" s="734"/>
      <c r="T95" s="734"/>
    </row>
    <row r="96" spans="1:20" s="717" customFormat="1" ht="11.25">
      <c r="A96" s="759"/>
      <c r="B96" s="769" t="s">
        <v>116</v>
      </c>
      <c r="C96" s="763" t="s">
        <v>4633</v>
      </c>
      <c r="D96" s="763"/>
      <c r="E96" s="763"/>
      <c r="F96" s="730"/>
      <c r="G96" s="761"/>
      <c r="H96" s="782"/>
      <c r="I96" s="773">
        <f>+ROUND('SP Min'!D187,0)</f>
        <v>0</v>
      </c>
      <c r="J96" s="773">
        <f>+ROUND('SP Min'!E187,0)</f>
        <v>0</v>
      </c>
      <c r="K96" s="721">
        <f t="shared" si="16"/>
        <v>0</v>
      </c>
      <c r="L96" s="716" t="str">
        <f t="shared" si="4"/>
        <v xml:space="preserve">-    </v>
      </c>
      <c r="M96" s="722"/>
      <c r="Q96" s="734"/>
      <c r="R96" s="734"/>
      <c r="S96" s="734"/>
      <c r="T96" s="734"/>
    </row>
    <row r="97" spans="1:20" s="717" customFormat="1" ht="11.25">
      <c r="A97" s="759"/>
      <c r="B97" s="763" t="s">
        <v>4589</v>
      </c>
      <c r="C97" s="790" t="s">
        <v>4634</v>
      </c>
      <c r="D97" s="763"/>
      <c r="E97" s="763"/>
      <c r="F97" s="769"/>
      <c r="G97" s="784"/>
      <c r="H97" s="782"/>
      <c r="I97" s="773">
        <f>+ROUND('SP Min'!D188+'SP Min'!D189,0)</f>
        <v>2781638</v>
      </c>
      <c r="J97" s="773">
        <f>+ROUND('SP Min'!E188+'SP Min'!E189,0)</f>
        <v>2782163</v>
      </c>
      <c r="K97" s="721">
        <f t="shared" si="16"/>
        <v>-525</v>
      </c>
      <c r="L97" s="716">
        <f t="shared" si="4"/>
        <v>-1.8870209976913646E-4</v>
      </c>
      <c r="M97" s="722"/>
      <c r="Q97" s="734"/>
      <c r="R97" s="734"/>
      <c r="S97" s="734"/>
      <c r="T97" s="734"/>
    </row>
    <row r="98" spans="1:20" s="717" customFormat="1" ht="12" thickBot="1">
      <c r="A98" s="931" t="s">
        <v>4635</v>
      </c>
      <c r="B98" s="932"/>
      <c r="C98" s="932"/>
      <c r="D98" s="932"/>
      <c r="E98" s="932"/>
      <c r="F98" s="932"/>
      <c r="G98" s="933"/>
      <c r="H98" s="934"/>
      <c r="I98" s="791">
        <f>SUM(I94:I97)</f>
        <v>2898397</v>
      </c>
      <c r="J98" s="791">
        <f>SUM(J94:J97)</f>
        <v>2802427</v>
      </c>
      <c r="K98" s="792">
        <f t="shared" si="16"/>
        <v>95970</v>
      </c>
      <c r="L98" s="793">
        <f t="shared" si="4"/>
        <v>3.4245316648747672E-2</v>
      </c>
      <c r="M98" s="722"/>
      <c r="N98" s="722"/>
      <c r="Q98" s="734"/>
      <c r="R98" s="734"/>
      <c r="S98" s="734"/>
      <c r="T98" s="734"/>
    </row>
    <row r="99" spans="1:20" s="728" customFormat="1" ht="11.25">
      <c r="A99" s="719"/>
      <c r="B99" s="719"/>
      <c r="C99" s="719"/>
      <c r="D99" s="719"/>
      <c r="E99" s="719"/>
      <c r="F99" s="719"/>
      <c r="G99" s="719"/>
      <c r="H99" s="719"/>
      <c r="I99" s="794"/>
      <c r="J99" s="795"/>
      <c r="K99" s="173"/>
      <c r="L99" s="796"/>
      <c r="M99" s="722"/>
      <c r="Q99" s="732"/>
      <c r="R99" s="732"/>
      <c r="S99" s="732"/>
      <c r="T99" s="732"/>
    </row>
    <row r="100" spans="1:20" s="728" customFormat="1" ht="12" thickBot="1">
      <c r="A100" s="797"/>
      <c r="B100" s="797"/>
      <c r="C100" s="797"/>
      <c r="D100" s="797"/>
      <c r="E100" s="797"/>
      <c r="F100" s="765"/>
      <c r="G100" s="798"/>
      <c r="H100" s="798"/>
      <c r="I100" s="695"/>
      <c r="J100" s="695"/>
      <c r="K100" s="798"/>
      <c r="L100" s="799"/>
      <c r="M100" s="722"/>
      <c r="Q100" s="732"/>
      <c r="R100" s="732"/>
      <c r="S100" s="732"/>
      <c r="T100" s="732"/>
    </row>
    <row r="101" spans="1:20" ht="32.25" customHeight="1" thickBot="1">
      <c r="A101" s="945" t="s">
        <v>4636</v>
      </c>
      <c r="B101" s="946"/>
      <c r="C101" s="946"/>
      <c r="D101" s="946"/>
      <c r="E101" s="946"/>
      <c r="F101" s="946"/>
      <c r="G101" s="946"/>
      <c r="H101" s="946"/>
      <c r="I101" s="946"/>
      <c r="J101" s="946"/>
      <c r="K101" s="947" t="s">
        <v>4637</v>
      </c>
      <c r="L101" s="948"/>
      <c r="M101" s="722"/>
    </row>
    <row r="102" spans="1:20" ht="13.5" thickBot="1">
      <c r="A102" s="800"/>
      <c r="B102" s="800"/>
      <c r="C102" s="800"/>
      <c r="D102" s="800"/>
      <c r="E102" s="800"/>
      <c r="F102" s="801"/>
      <c r="G102" s="798"/>
      <c r="H102" s="798"/>
      <c r="I102" s="695"/>
      <c r="J102" s="696"/>
      <c r="K102" s="697"/>
      <c r="L102" s="698"/>
      <c r="M102" s="722"/>
    </row>
    <row r="103" spans="1:20" ht="13.15" customHeight="1">
      <c r="A103" s="949" t="s">
        <v>2097</v>
      </c>
      <c r="B103" s="950"/>
      <c r="C103" s="950"/>
      <c r="D103" s="950"/>
      <c r="E103" s="950"/>
      <c r="F103" s="950"/>
      <c r="G103" s="950"/>
      <c r="H103" s="950"/>
      <c r="I103" s="954" t="s">
        <v>4582</v>
      </c>
      <c r="J103" s="954" t="s">
        <v>4583</v>
      </c>
      <c r="K103" s="956" t="s">
        <v>3453</v>
      </c>
      <c r="L103" s="957"/>
      <c r="M103" s="722"/>
    </row>
    <row r="104" spans="1:20" ht="39.75" customHeight="1">
      <c r="A104" s="951"/>
      <c r="B104" s="952"/>
      <c r="C104" s="952"/>
      <c r="D104" s="952"/>
      <c r="E104" s="952"/>
      <c r="F104" s="952"/>
      <c r="G104" s="953"/>
      <c r="H104" s="952"/>
      <c r="I104" s="955"/>
      <c r="J104" s="955"/>
      <c r="K104" s="388" t="s">
        <v>2</v>
      </c>
      <c r="L104" s="699" t="s">
        <v>3</v>
      </c>
      <c r="M104" s="722"/>
    </row>
    <row r="105" spans="1:20" s="728" customFormat="1" ht="11.25">
      <c r="A105" s="802"/>
      <c r="B105" s="803"/>
      <c r="C105" s="803"/>
      <c r="D105" s="803"/>
      <c r="E105" s="803"/>
      <c r="F105" s="804"/>
      <c r="G105" s="805"/>
      <c r="H105" s="806"/>
      <c r="I105" s="807"/>
      <c r="J105" s="808"/>
      <c r="K105" s="809"/>
      <c r="L105" s="810"/>
      <c r="M105" s="722"/>
      <c r="Q105" s="732"/>
      <c r="R105" s="732"/>
      <c r="S105" s="732"/>
      <c r="T105" s="732"/>
    </row>
    <row r="106" spans="1:20" s="717" customFormat="1" ht="11.25">
      <c r="A106" s="708" t="s">
        <v>4</v>
      </c>
      <c r="B106" s="176" t="s">
        <v>3461</v>
      </c>
      <c r="C106" s="710"/>
      <c r="D106" s="710"/>
      <c r="E106" s="710"/>
      <c r="F106" s="711"/>
      <c r="G106" s="712"/>
      <c r="H106" s="188"/>
      <c r="I106" s="811"/>
      <c r="J106" s="776"/>
      <c r="K106" s="193"/>
      <c r="L106" s="812"/>
      <c r="M106" s="722"/>
      <c r="Q106" s="734"/>
      <c r="R106" s="734"/>
      <c r="S106" s="734"/>
      <c r="T106" s="734"/>
    </row>
    <row r="107" spans="1:20" s="717" customFormat="1" ht="11.25">
      <c r="A107" s="708"/>
      <c r="B107" s="710"/>
      <c r="C107" s="710"/>
      <c r="D107" s="710"/>
      <c r="E107" s="710"/>
      <c r="F107" s="719"/>
      <c r="G107" s="712"/>
      <c r="H107" s="188"/>
      <c r="I107" s="811"/>
      <c r="J107" s="776"/>
      <c r="K107" s="721"/>
      <c r="L107" s="812"/>
      <c r="M107" s="722"/>
      <c r="Q107" s="734"/>
      <c r="R107" s="734"/>
      <c r="S107" s="734"/>
      <c r="T107" s="734"/>
    </row>
    <row r="108" spans="1:20" s="717" customFormat="1" ht="11.25">
      <c r="A108" s="718"/>
      <c r="B108" s="710" t="s">
        <v>123</v>
      </c>
      <c r="C108" s="719" t="s">
        <v>4638</v>
      </c>
      <c r="D108" s="710"/>
      <c r="E108" s="710"/>
      <c r="F108" s="711"/>
      <c r="G108" s="712"/>
      <c r="H108" s="188"/>
      <c r="I108" s="776">
        <f>+ROUND('SP Min'!D191,0)</f>
        <v>269581</v>
      </c>
      <c r="J108" s="776">
        <f>+ROUND('SP Min'!E191,0)</f>
        <v>103489</v>
      </c>
      <c r="K108" s="787">
        <f>+I108-J108</f>
        <v>166092</v>
      </c>
      <c r="L108" s="727">
        <f t="shared" ref="L108:L167" si="17">IF(J108=0,"-    ",K108/J108)</f>
        <v>1.6049241948419639</v>
      </c>
      <c r="M108" s="722"/>
      <c r="N108" s="813"/>
      <c r="Q108" s="734"/>
      <c r="R108" s="734"/>
      <c r="S108" s="734"/>
      <c r="T108" s="734"/>
    </row>
    <row r="109" spans="1:20" s="717" customFormat="1" ht="11.25">
      <c r="A109" s="718"/>
      <c r="B109" s="710" t="s">
        <v>124</v>
      </c>
      <c r="C109" s="814" t="s">
        <v>4639</v>
      </c>
      <c r="D109" s="710"/>
      <c r="E109" s="710"/>
      <c r="F109" s="815"/>
      <c r="G109" s="712"/>
      <c r="H109" s="188"/>
      <c r="I109" s="720">
        <f>I110+I111+SUM(I115:I117)</f>
        <v>52280717</v>
      </c>
      <c r="J109" s="776">
        <f>J110+J111+SUM(J115:J117)</f>
        <v>50768824</v>
      </c>
      <c r="K109" s="787">
        <f>+I109-J109</f>
        <v>1511893</v>
      </c>
      <c r="L109" s="727">
        <f t="shared" si="17"/>
        <v>2.977994920662334E-2</v>
      </c>
      <c r="M109" s="722"/>
      <c r="Q109" s="734"/>
      <c r="R109" s="734"/>
      <c r="S109" s="734"/>
      <c r="T109" s="734"/>
    </row>
    <row r="110" spans="1:20" s="728" customFormat="1" ht="11.25">
      <c r="A110" s="729"/>
      <c r="B110" s="710"/>
      <c r="C110" s="763" t="s">
        <v>86</v>
      </c>
      <c r="D110" s="763" t="s">
        <v>3465</v>
      </c>
      <c r="E110" s="761"/>
      <c r="F110" s="724"/>
      <c r="G110" s="725"/>
      <c r="H110" s="187"/>
      <c r="I110" s="731">
        <f>+ROUND('SP Min'!D193,0)</f>
        <v>2931371</v>
      </c>
      <c r="J110" s="773">
        <f>+ROUND('SP Min'!E193,0)</f>
        <v>3116905</v>
      </c>
      <c r="K110" s="787">
        <f t="shared" ref="K110:K167" si="18">+I110-J110</f>
        <v>-185534</v>
      </c>
      <c r="L110" s="727">
        <f t="shared" si="17"/>
        <v>-5.9525073751044703E-2</v>
      </c>
      <c r="M110" s="722"/>
      <c r="Q110" s="732"/>
      <c r="R110" s="732"/>
      <c r="S110" s="732"/>
      <c r="T110" s="732"/>
    </row>
    <row r="111" spans="1:20" s="728" customFormat="1" ht="11.25">
      <c r="A111" s="729"/>
      <c r="B111" s="710"/>
      <c r="C111" s="763" t="s">
        <v>88</v>
      </c>
      <c r="D111" s="763" t="s">
        <v>3467</v>
      </c>
      <c r="E111" s="761"/>
      <c r="F111" s="724"/>
      <c r="G111" s="725"/>
      <c r="H111" s="187"/>
      <c r="I111" s="731">
        <f>SUM(I112:I114)</f>
        <v>22476784</v>
      </c>
      <c r="J111" s="773">
        <f>SUM(J112:J114)</f>
        <v>22767273</v>
      </c>
      <c r="K111" s="787">
        <f t="shared" si="18"/>
        <v>-290489</v>
      </c>
      <c r="L111" s="727">
        <f t="shared" si="17"/>
        <v>-1.2759059901464703E-2</v>
      </c>
      <c r="M111" s="722"/>
      <c r="Q111" s="732"/>
      <c r="R111" s="732"/>
      <c r="S111" s="732"/>
      <c r="T111" s="732"/>
    </row>
    <row r="112" spans="1:20" s="728" customFormat="1" ht="11.25">
      <c r="A112" s="729"/>
      <c r="B112" s="761"/>
      <c r="C112" s="763"/>
      <c r="D112" s="767" t="s">
        <v>4640</v>
      </c>
      <c r="E112" s="767" t="s">
        <v>3468</v>
      </c>
      <c r="F112" s="769"/>
      <c r="G112" s="763"/>
      <c r="H112" s="763"/>
      <c r="I112" s="731">
        <f>+ROUND('SP Min'!D195,0)</f>
        <v>15039145</v>
      </c>
      <c r="J112" s="773">
        <f>+ROUND('SP Min'!E195,0)</f>
        <v>15065649</v>
      </c>
      <c r="K112" s="787">
        <f t="shared" si="18"/>
        <v>-26504</v>
      </c>
      <c r="L112" s="727">
        <f t="shared" si="17"/>
        <v>-1.7592338703762446E-3</v>
      </c>
      <c r="M112" s="722"/>
      <c r="Q112" s="732"/>
      <c r="R112" s="732"/>
      <c r="S112" s="732"/>
      <c r="T112" s="732"/>
    </row>
    <row r="113" spans="1:20" s="728" customFormat="1" ht="11.25">
      <c r="A113" s="729"/>
      <c r="B113" s="761"/>
      <c r="C113" s="763"/>
      <c r="D113" s="767" t="s">
        <v>4593</v>
      </c>
      <c r="E113" s="767" t="s">
        <v>4641</v>
      </c>
      <c r="F113" s="769"/>
      <c r="G113" s="763"/>
      <c r="H113" s="763"/>
      <c r="I113" s="731">
        <f>+ROUND('SP Min'!D196,0)</f>
        <v>539204</v>
      </c>
      <c r="J113" s="773">
        <f>+ROUND('SP Min'!E196,0)</f>
        <v>780556</v>
      </c>
      <c r="K113" s="787">
        <f t="shared" si="18"/>
        <v>-241352</v>
      </c>
      <c r="L113" s="727">
        <f t="shared" si="17"/>
        <v>-0.30920523319274978</v>
      </c>
      <c r="M113" s="722"/>
      <c r="Q113" s="732"/>
      <c r="R113" s="732"/>
      <c r="S113" s="732"/>
      <c r="T113" s="732"/>
    </row>
    <row r="114" spans="1:20" s="728" customFormat="1" ht="11.25">
      <c r="A114" s="729"/>
      <c r="B114" s="761"/>
      <c r="C114" s="763"/>
      <c r="D114" s="767" t="s">
        <v>4642</v>
      </c>
      <c r="E114" s="767" t="s">
        <v>4643</v>
      </c>
      <c r="F114" s="769"/>
      <c r="G114" s="763"/>
      <c r="H114" s="763"/>
      <c r="I114" s="731">
        <f>+ROUND('SP Min'!D197,0)</f>
        <v>6898435</v>
      </c>
      <c r="J114" s="773">
        <f>+ROUND('SP Min'!E197,0)</f>
        <v>6921068</v>
      </c>
      <c r="K114" s="787">
        <f t="shared" si="18"/>
        <v>-22633</v>
      </c>
      <c r="L114" s="727">
        <f t="shared" si="17"/>
        <v>-3.2701600388841722E-3</v>
      </c>
      <c r="M114" s="722"/>
      <c r="Q114" s="732"/>
      <c r="R114" s="732"/>
      <c r="S114" s="732"/>
      <c r="T114" s="732"/>
    </row>
    <row r="115" spans="1:20" s="728" customFormat="1" ht="11.25">
      <c r="A115" s="729"/>
      <c r="B115" s="761"/>
      <c r="C115" s="744" t="s">
        <v>116</v>
      </c>
      <c r="D115" s="744" t="s">
        <v>3474</v>
      </c>
      <c r="E115" s="763"/>
      <c r="F115" s="769"/>
      <c r="G115" s="763"/>
      <c r="H115" s="763"/>
      <c r="I115" s="731">
        <f>+ROUND('SP Min'!D198,0)</f>
        <v>26779353</v>
      </c>
      <c r="J115" s="773">
        <f>+ROUND('SP Min'!E198,0)</f>
        <v>24825475</v>
      </c>
      <c r="K115" s="787">
        <f t="shared" si="18"/>
        <v>1953878</v>
      </c>
      <c r="L115" s="727">
        <f t="shared" si="17"/>
        <v>7.8704556508989248E-2</v>
      </c>
      <c r="M115" s="722"/>
      <c r="Q115" s="732"/>
      <c r="R115" s="732"/>
      <c r="S115" s="732"/>
      <c r="T115" s="732"/>
    </row>
    <row r="116" spans="1:20" s="728" customFormat="1" ht="11.25">
      <c r="A116" s="729"/>
      <c r="B116" s="761"/>
      <c r="C116" s="744" t="s">
        <v>4589</v>
      </c>
      <c r="D116" s="744" t="s">
        <v>3478</v>
      </c>
      <c r="E116" s="763"/>
      <c r="F116" s="769"/>
      <c r="G116" s="763"/>
      <c r="H116" s="763"/>
      <c r="I116" s="731">
        <f>+ROUND('SP Min'!D199,0)</f>
        <v>9172</v>
      </c>
      <c r="J116" s="773">
        <f>+ROUND('SP Min'!E199,0)</f>
        <v>2042</v>
      </c>
      <c r="K116" s="787">
        <f t="shared" si="18"/>
        <v>7130</v>
      </c>
      <c r="L116" s="727">
        <f t="shared" si="17"/>
        <v>3.4916748285994124</v>
      </c>
      <c r="M116" s="722"/>
      <c r="Q116" s="732"/>
      <c r="R116" s="732"/>
      <c r="S116" s="732"/>
      <c r="T116" s="732"/>
    </row>
    <row r="117" spans="1:20" s="728" customFormat="1" ht="11.25">
      <c r="A117" s="729"/>
      <c r="B117" s="710"/>
      <c r="C117" s="744" t="s">
        <v>4590</v>
      </c>
      <c r="D117" s="744" t="s">
        <v>3482</v>
      </c>
      <c r="E117" s="710"/>
      <c r="F117" s="724"/>
      <c r="G117" s="725"/>
      <c r="H117" s="187"/>
      <c r="I117" s="731">
        <f>+ROUND('SP Min'!D200,0)</f>
        <v>84037</v>
      </c>
      <c r="J117" s="773">
        <f>+ROUND('SP Min'!E200,0)</f>
        <v>57129</v>
      </c>
      <c r="K117" s="787">
        <f t="shared" si="18"/>
        <v>26908</v>
      </c>
      <c r="L117" s="727">
        <f t="shared" si="17"/>
        <v>0.47100421852299185</v>
      </c>
      <c r="M117" s="722"/>
      <c r="Q117" s="732"/>
      <c r="R117" s="732"/>
      <c r="S117" s="732"/>
      <c r="T117" s="732"/>
    </row>
    <row r="118" spans="1:20" s="717" customFormat="1" ht="11.25">
      <c r="A118" s="718"/>
      <c r="B118" s="814" t="s">
        <v>125</v>
      </c>
      <c r="C118" s="814" t="s">
        <v>4644</v>
      </c>
      <c r="D118" s="710"/>
      <c r="E118" s="710"/>
      <c r="F118" s="815"/>
      <c r="G118" s="712"/>
      <c r="H118" s="188"/>
      <c r="I118" s="720">
        <f>+ROUND('SP Min'!D201,0)</f>
        <v>2190789</v>
      </c>
      <c r="J118" s="776">
        <f>+ROUND('SP Min'!E201,0)</f>
        <v>2213621</v>
      </c>
      <c r="K118" s="787">
        <f t="shared" si="18"/>
        <v>-22832</v>
      </c>
      <c r="L118" s="727">
        <f t="shared" si="17"/>
        <v>-1.031432209940184E-2</v>
      </c>
      <c r="M118" s="722"/>
      <c r="Q118" s="734"/>
      <c r="R118" s="734"/>
      <c r="S118" s="734"/>
      <c r="T118" s="734"/>
    </row>
    <row r="119" spans="1:20" s="717" customFormat="1" ht="11.25">
      <c r="A119" s="718"/>
      <c r="B119" s="814" t="s">
        <v>126</v>
      </c>
      <c r="C119" s="719" t="s">
        <v>4645</v>
      </c>
      <c r="D119" s="710"/>
      <c r="E119" s="710"/>
      <c r="F119" s="815"/>
      <c r="G119" s="712"/>
      <c r="H119" s="188"/>
      <c r="I119" s="720">
        <f>+ROUND('SP Min'!D202,0)</f>
        <v>3105587</v>
      </c>
      <c r="J119" s="720">
        <f>+ROUND('SP Min'!E202,0)</f>
        <v>2462190</v>
      </c>
      <c r="K119" s="787">
        <f t="shared" si="18"/>
        <v>643397</v>
      </c>
      <c r="L119" s="727">
        <f t="shared" si="17"/>
        <v>0.26131086553027993</v>
      </c>
      <c r="M119" s="722"/>
      <c r="Q119" s="734"/>
      <c r="R119" s="734"/>
      <c r="S119" s="734"/>
      <c r="T119" s="734"/>
    </row>
    <row r="120" spans="1:20" s="717" customFormat="1" ht="11.25">
      <c r="A120" s="718"/>
      <c r="B120" s="814" t="s">
        <v>127</v>
      </c>
      <c r="C120" s="719" t="s">
        <v>4646</v>
      </c>
      <c r="D120" s="710"/>
      <c r="E120" s="710"/>
      <c r="F120" s="711"/>
      <c r="G120" s="712"/>
      <c r="H120" s="188"/>
      <c r="I120" s="776">
        <f>+ROUND('SP Min'!D208,0)</f>
        <v>0</v>
      </c>
      <c r="J120" s="776">
        <f>+ROUND('SP Min'!E208,0)</f>
        <v>0</v>
      </c>
      <c r="K120" s="787">
        <f t="shared" si="18"/>
        <v>0</v>
      </c>
      <c r="L120" s="727" t="str">
        <f t="shared" si="17"/>
        <v xml:space="preserve">-    </v>
      </c>
      <c r="M120" s="722"/>
      <c r="Q120" s="734"/>
      <c r="R120" s="734"/>
      <c r="S120" s="734"/>
      <c r="T120" s="734"/>
    </row>
    <row r="121" spans="1:20" s="717" customFormat="1" ht="11.25">
      <c r="A121" s="718"/>
      <c r="B121" s="814" t="s">
        <v>128</v>
      </c>
      <c r="C121" s="719" t="s">
        <v>4647</v>
      </c>
      <c r="D121" s="710"/>
      <c r="E121" s="710"/>
      <c r="F121" s="815"/>
      <c r="G121" s="712"/>
      <c r="H121" s="188"/>
      <c r="I121" s="776">
        <f>+ROUND('SP Min'!D212,0)</f>
        <v>0</v>
      </c>
      <c r="J121" s="776">
        <f>+ROUND('SP Min'!E212,0)</f>
        <v>0</v>
      </c>
      <c r="K121" s="787">
        <f t="shared" si="18"/>
        <v>0</v>
      </c>
      <c r="L121" s="727" t="str">
        <f t="shared" si="17"/>
        <v xml:space="preserve">-    </v>
      </c>
      <c r="M121" s="722"/>
      <c r="Q121" s="734"/>
      <c r="R121" s="734"/>
      <c r="S121" s="734"/>
      <c r="T121" s="734"/>
    </row>
    <row r="122" spans="1:20" s="717" customFormat="1" ht="11.25">
      <c r="A122" s="718"/>
      <c r="B122" s="814" t="s">
        <v>4648</v>
      </c>
      <c r="C122" s="719" t="s">
        <v>4649</v>
      </c>
      <c r="D122" s="710"/>
      <c r="E122" s="710"/>
      <c r="F122" s="815"/>
      <c r="G122" s="712"/>
      <c r="H122" s="188"/>
      <c r="I122" s="776">
        <f>+ROUND('SP Min'!D213,0)</f>
        <v>147116</v>
      </c>
      <c r="J122" s="776">
        <f>+ROUND('SP Min'!E213,0)</f>
        <v>12415</v>
      </c>
      <c r="K122" s="787">
        <f t="shared" si="18"/>
        <v>134701</v>
      </c>
      <c r="L122" s="816">
        <f t="shared" si="17"/>
        <v>10.849859041482079</v>
      </c>
      <c r="M122" s="722"/>
      <c r="Q122" s="734"/>
      <c r="R122" s="734"/>
      <c r="S122" s="734"/>
      <c r="T122" s="734"/>
    </row>
    <row r="123" spans="1:20" s="717" customFormat="1" ht="11.25">
      <c r="A123" s="958" t="s">
        <v>4603</v>
      </c>
      <c r="B123" s="959"/>
      <c r="C123" s="959"/>
      <c r="D123" s="959"/>
      <c r="E123" s="959"/>
      <c r="F123" s="959"/>
      <c r="G123" s="960"/>
      <c r="H123" s="959"/>
      <c r="I123" s="753">
        <f>I108+I109+SUM(I118:I122)</f>
        <v>57993790</v>
      </c>
      <c r="J123" s="754">
        <f>J108+J109+SUM(J118:J122)-1</f>
        <v>55560538</v>
      </c>
      <c r="K123" s="817">
        <f t="shared" si="18"/>
        <v>2433252</v>
      </c>
      <c r="L123" s="147">
        <f t="shared" si="17"/>
        <v>4.3794608324347041E-2</v>
      </c>
      <c r="M123" s="722"/>
      <c r="Q123" s="734"/>
      <c r="R123" s="734"/>
      <c r="S123" s="734"/>
      <c r="T123" s="734"/>
    </row>
    <row r="124" spans="1:20" s="717" customFormat="1" ht="11.25">
      <c r="A124" s="818" t="s">
        <v>33</v>
      </c>
      <c r="B124" s="176" t="s">
        <v>3664</v>
      </c>
      <c r="C124" s="814"/>
      <c r="D124" s="710"/>
      <c r="E124" s="710"/>
      <c r="F124" s="711"/>
      <c r="G124" s="819"/>
      <c r="H124" s="188"/>
      <c r="I124" s="756"/>
      <c r="J124" s="756"/>
      <c r="K124" s="721">
        <f t="shared" si="18"/>
        <v>0</v>
      </c>
      <c r="L124" s="165" t="str">
        <f t="shared" si="17"/>
        <v xml:space="preserve">-    </v>
      </c>
      <c r="M124" s="722"/>
      <c r="Q124" s="734"/>
      <c r="R124" s="734"/>
      <c r="S124" s="734"/>
      <c r="T124" s="734"/>
    </row>
    <row r="125" spans="1:20" s="717" customFormat="1" ht="11.25">
      <c r="A125" s="818"/>
      <c r="B125" s="814" t="s">
        <v>86</v>
      </c>
      <c r="C125" s="176" t="s">
        <v>4650</v>
      </c>
      <c r="D125" s="710"/>
      <c r="E125" s="710"/>
      <c r="F125" s="711"/>
      <c r="G125" s="712"/>
      <c r="H125" s="188"/>
      <c r="I125" s="776">
        <f>+ROUND('SP Min'!D215,0)</f>
        <v>0</v>
      </c>
      <c r="J125" s="776">
        <f>+ROUND('SP Min'!E215,0)</f>
        <v>0</v>
      </c>
      <c r="K125" s="787">
        <f t="shared" si="18"/>
        <v>0</v>
      </c>
      <c r="L125" s="727" t="str">
        <f t="shared" si="17"/>
        <v xml:space="preserve">-    </v>
      </c>
      <c r="M125" s="722"/>
      <c r="Q125" s="734"/>
      <c r="R125" s="734"/>
      <c r="S125" s="734"/>
      <c r="T125" s="734"/>
    </row>
    <row r="126" spans="1:20" s="717" customFormat="1" ht="11.25">
      <c r="A126" s="818"/>
      <c r="B126" s="814" t="s">
        <v>88</v>
      </c>
      <c r="C126" s="176" t="s">
        <v>4651</v>
      </c>
      <c r="D126" s="710"/>
      <c r="E126" s="710"/>
      <c r="F126" s="719"/>
      <c r="G126" s="712"/>
      <c r="H126" s="188"/>
      <c r="I126" s="776">
        <f>+ROUND('SP Min'!D216,0)</f>
        <v>5397188</v>
      </c>
      <c r="J126" s="776">
        <f>+ROUND('SP Min'!E216,0)</f>
        <v>5402830</v>
      </c>
      <c r="K126" s="787">
        <f t="shared" si="18"/>
        <v>-5642</v>
      </c>
      <c r="L126" s="727">
        <f t="shared" si="17"/>
        <v>-1.0442675412700381E-3</v>
      </c>
      <c r="M126" s="722"/>
      <c r="Q126" s="734"/>
      <c r="R126" s="734"/>
      <c r="S126" s="734"/>
      <c r="T126" s="734"/>
    </row>
    <row r="127" spans="1:20" s="717" customFormat="1" ht="11.25">
      <c r="A127" s="818"/>
      <c r="B127" s="814" t="s">
        <v>116</v>
      </c>
      <c r="C127" s="176" t="s">
        <v>4652</v>
      </c>
      <c r="D127" s="710"/>
      <c r="E127" s="710"/>
      <c r="F127" s="711"/>
      <c r="G127" s="712"/>
      <c r="H127" s="188"/>
      <c r="I127" s="776">
        <f>+ROUND('SP Min'!D224,0)</f>
        <v>0</v>
      </c>
      <c r="J127" s="776">
        <f>+ROUND('SP Min'!E224,0)</f>
        <v>0</v>
      </c>
      <c r="K127" s="787">
        <f t="shared" si="18"/>
        <v>0</v>
      </c>
      <c r="L127" s="727" t="str">
        <f t="shared" si="17"/>
        <v xml:space="preserve">-    </v>
      </c>
      <c r="M127" s="722"/>
      <c r="Q127" s="734"/>
      <c r="R127" s="734"/>
      <c r="S127" s="734"/>
      <c r="T127" s="734"/>
    </row>
    <row r="128" spans="1:20" s="717" customFormat="1" ht="11.25">
      <c r="A128" s="818"/>
      <c r="B128" s="814" t="s">
        <v>4589</v>
      </c>
      <c r="C128" s="814" t="s">
        <v>4653</v>
      </c>
      <c r="D128" s="710"/>
      <c r="E128" s="710"/>
      <c r="F128" s="719"/>
      <c r="G128" s="712"/>
      <c r="H128" s="188"/>
      <c r="I128" s="720">
        <f>+ROUND('SP Min'!D233,0)</f>
        <v>16236151</v>
      </c>
      <c r="J128" s="776">
        <f>+ROUND('SP Min'!E233,0)</f>
        <v>21466348</v>
      </c>
      <c r="K128" s="787">
        <f t="shared" si="18"/>
        <v>-5230197</v>
      </c>
      <c r="L128" s="727">
        <f t="shared" si="17"/>
        <v>-0.24364633425303642</v>
      </c>
      <c r="M128" s="722"/>
      <c r="Q128" s="734"/>
      <c r="R128" s="734"/>
      <c r="S128" s="734"/>
      <c r="T128" s="734"/>
    </row>
    <row r="129" spans="1:20" s="717" customFormat="1" ht="11.25">
      <c r="A129" s="818"/>
      <c r="B129" s="814" t="s">
        <v>4590</v>
      </c>
      <c r="C129" s="814" t="s">
        <v>4654</v>
      </c>
      <c r="D129" s="710"/>
      <c r="E129" s="710"/>
      <c r="F129" s="719"/>
      <c r="G129" s="820"/>
      <c r="H129" s="188"/>
      <c r="I129" s="720">
        <f>+ROUND('SP Min'!D239,0)</f>
        <v>3167097</v>
      </c>
      <c r="J129" s="776">
        <f>+ROUND('SP Min'!E239,0)</f>
        <v>2141380</v>
      </c>
      <c r="K129" s="787">
        <f t="shared" si="18"/>
        <v>1025717</v>
      </c>
      <c r="L129" s="727">
        <f t="shared" si="17"/>
        <v>0.47899812270591863</v>
      </c>
      <c r="M129" s="722"/>
      <c r="Q129" s="734"/>
      <c r="R129" s="734"/>
      <c r="S129" s="734"/>
      <c r="T129" s="734"/>
    </row>
    <row r="130" spans="1:20" s="717" customFormat="1" ht="11.25">
      <c r="A130" s="961" t="s">
        <v>4628</v>
      </c>
      <c r="B130" s="962"/>
      <c r="C130" s="962"/>
      <c r="D130" s="962"/>
      <c r="E130" s="962"/>
      <c r="F130" s="962"/>
      <c r="G130" s="963"/>
      <c r="H130" s="962"/>
      <c r="I130" s="753">
        <f>SUM(I125:I129)</f>
        <v>24800436</v>
      </c>
      <c r="J130" s="753">
        <f>SUM(J125:J129)</f>
        <v>29010558</v>
      </c>
      <c r="K130" s="817">
        <f t="shared" si="18"/>
        <v>-4210122</v>
      </c>
      <c r="L130" s="147">
        <f t="shared" si="17"/>
        <v>-0.1451237856231514</v>
      </c>
      <c r="M130" s="722"/>
      <c r="Q130" s="734"/>
      <c r="R130" s="734"/>
      <c r="S130" s="734"/>
      <c r="T130" s="734"/>
    </row>
    <row r="131" spans="1:20" s="717" customFormat="1" ht="11.25">
      <c r="A131" s="818" t="s">
        <v>84</v>
      </c>
      <c r="B131" s="814" t="s">
        <v>3730</v>
      </c>
      <c r="C131" s="814"/>
      <c r="D131" s="710"/>
      <c r="E131" s="710"/>
      <c r="F131" s="719"/>
      <c r="G131" s="819"/>
      <c r="H131" s="188"/>
      <c r="I131" s="776"/>
      <c r="J131" s="776"/>
      <c r="K131" s="721">
        <f t="shared" si="18"/>
        <v>0</v>
      </c>
      <c r="L131" s="165" t="str">
        <f t="shared" si="17"/>
        <v xml:space="preserve">-    </v>
      </c>
      <c r="M131" s="722"/>
      <c r="Q131" s="734"/>
      <c r="R131" s="734"/>
      <c r="S131" s="734"/>
      <c r="T131" s="734"/>
    </row>
    <row r="132" spans="1:20" s="717" customFormat="1" ht="11.25">
      <c r="A132" s="818"/>
      <c r="B132" s="814" t="s">
        <v>86</v>
      </c>
      <c r="C132" s="814" t="s">
        <v>4655</v>
      </c>
      <c r="D132" s="710"/>
      <c r="E132" s="710"/>
      <c r="F132" s="719"/>
      <c r="G132" s="712"/>
      <c r="H132" s="188"/>
      <c r="I132" s="776">
        <f>+ROUND('SP Min'!D248,0)</f>
        <v>0</v>
      </c>
      <c r="J132" s="776">
        <f>+ROUND('SP Min'!E248,0)</f>
        <v>0</v>
      </c>
      <c r="K132" s="787">
        <f t="shared" si="18"/>
        <v>0</v>
      </c>
      <c r="L132" s="727" t="str">
        <f t="shared" si="17"/>
        <v xml:space="preserve">-    </v>
      </c>
      <c r="M132" s="722"/>
      <c r="Q132" s="734"/>
      <c r="R132" s="734"/>
      <c r="S132" s="734"/>
      <c r="T132" s="734"/>
    </row>
    <row r="133" spans="1:20" s="717" customFormat="1" ht="11.25">
      <c r="A133" s="818"/>
      <c r="B133" s="814" t="s">
        <v>88</v>
      </c>
      <c r="C133" s="814" t="s">
        <v>4656</v>
      </c>
      <c r="D133" s="710"/>
      <c r="E133" s="710"/>
      <c r="F133" s="719"/>
      <c r="G133" s="820"/>
      <c r="H133" s="188"/>
      <c r="I133" s="776">
        <f>+ROUND('SP Min'!D249+'SP Min'!D250,0)</f>
        <v>0</v>
      </c>
      <c r="J133" s="776">
        <f>+ROUND('SP Min'!E249+'SP Min'!E250,0)</f>
        <v>0</v>
      </c>
      <c r="K133" s="787">
        <f t="shared" si="18"/>
        <v>0</v>
      </c>
      <c r="L133" s="727" t="str">
        <f t="shared" si="17"/>
        <v xml:space="preserve">-    </v>
      </c>
      <c r="M133" s="722"/>
      <c r="Q133" s="734"/>
      <c r="R133" s="734"/>
      <c r="S133" s="734"/>
      <c r="T133" s="734"/>
    </row>
    <row r="134" spans="1:20" s="717" customFormat="1" ht="11.25">
      <c r="A134" s="961" t="s">
        <v>4629</v>
      </c>
      <c r="B134" s="962"/>
      <c r="C134" s="962"/>
      <c r="D134" s="962"/>
      <c r="E134" s="962"/>
      <c r="F134" s="962"/>
      <c r="G134" s="964"/>
      <c r="H134" s="962"/>
      <c r="I134" s="753">
        <f>SUM(I132:I133)</f>
        <v>0</v>
      </c>
      <c r="J134" s="753">
        <f>SUM(J132:J133)</f>
        <v>0</v>
      </c>
      <c r="K134" s="817">
        <f t="shared" si="18"/>
        <v>0</v>
      </c>
      <c r="L134" s="147" t="str">
        <f t="shared" si="17"/>
        <v xml:space="preserve">-    </v>
      </c>
      <c r="M134" s="722"/>
      <c r="Q134" s="734"/>
      <c r="R134" s="734"/>
      <c r="S134" s="734"/>
      <c r="T134" s="734"/>
    </row>
    <row r="135" spans="1:20" s="717" customFormat="1" ht="11.25">
      <c r="A135" s="821" t="s">
        <v>92</v>
      </c>
      <c r="B135" s="176" t="s">
        <v>4657</v>
      </c>
      <c r="C135" s="822"/>
      <c r="D135" s="822"/>
      <c r="E135" s="822"/>
      <c r="F135" s="711"/>
      <c r="G135" s="711"/>
      <c r="H135" s="711"/>
      <c r="I135" s="823"/>
      <c r="J135" s="823"/>
      <c r="K135" s="721">
        <f t="shared" si="18"/>
        <v>0</v>
      </c>
      <c r="L135" s="165" t="str">
        <f t="shared" si="17"/>
        <v xml:space="preserve">-    </v>
      </c>
      <c r="M135" s="722"/>
      <c r="Q135" s="734"/>
      <c r="R135" s="734"/>
      <c r="S135" s="734"/>
      <c r="T135" s="734"/>
    </row>
    <row r="136" spans="1:20" s="717" customFormat="1" ht="11.25">
      <c r="A136" s="708"/>
      <c r="B136" s="710"/>
      <c r="C136" s="710"/>
      <c r="D136" s="710"/>
      <c r="E136" s="710"/>
      <c r="F136" s="176"/>
      <c r="G136" s="824" t="s">
        <v>4598</v>
      </c>
      <c r="H136" s="825" t="s">
        <v>4599</v>
      </c>
      <c r="I136" s="826"/>
      <c r="J136" s="826"/>
      <c r="K136" s="721">
        <f t="shared" si="18"/>
        <v>0</v>
      </c>
      <c r="L136" s="165" t="str">
        <f t="shared" si="17"/>
        <v xml:space="preserve">-    </v>
      </c>
      <c r="M136" s="722"/>
      <c r="Q136" s="734"/>
      <c r="R136" s="734"/>
      <c r="S136" s="734"/>
      <c r="T136" s="734"/>
    </row>
    <row r="137" spans="1:20" s="717" customFormat="1" ht="11.25">
      <c r="A137" s="708"/>
      <c r="B137" s="814" t="s">
        <v>86</v>
      </c>
      <c r="C137" s="176" t="s">
        <v>4658</v>
      </c>
      <c r="D137" s="710"/>
      <c r="E137" s="710"/>
      <c r="F137" s="176"/>
      <c r="G137" s="193"/>
      <c r="H137" s="188"/>
      <c r="I137" s="776">
        <f>+ROUND('SP Min'!D252,0)</f>
        <v>0</v>
      </c>
      <c r="J137" s="776">
        <f>+ROUND('SP Min'!E252,0)</f>
        <v>0</v>
      </c>
      <c r="K137" s="787">
        <f t="shared" si="18"/>
        <v>0</v>
      </c>
      <c r="L137" s="727" t="str">
        <f t="shared" si="17"/>
        <v xml:space="preserve">-    </v>
      </c>
      <c r="M137" s="722"/>
      <c r="Q137" s="734"/>
      <c r="R137" s="734"/>
      <c r="S137" s="734"/>
      <c r="T137" s="734"/>
    </row>
    <row r="138" spans="1:20" s="717" customFormat="1" ht="11.25">
      <c r="A138" s="708"/>
      <c r="B138" s="814" t="s">
        <v>88</v>
      </c>
      <c r="C138" s="827" t="s">
        <v>4659</v>
      </c>
      <c r="D138" s="710"/>
      <c r="E138" s="710"/>
      <c r="F138" s="711"/>
      <c r="G138" s="193"/>
      <c r="H138" s="193"/>
      <c r="I138" s="776">
        <f>+ROUND('SP Min'!D253,0)</f>
        <v>0</v>
      </c>
      <c r="J138" s="776">
        <f>+ROUND('SP Min'!E253,0)</f>
        <v>0</v>
      </c>
      <c r="K138" s="787">
        <f t="shared" si="18"/>
        <v>0</v>
      </c>
      <c r="L138" s="727" t="str">
        <f t="shared" si="17"/>
        <v xml:space="preserve">-    </v>
      </c>
      <c r="M138" s="722"/>
      <c r="Q138" s="734"/>
      <c r="R138" s="734"/>
      <c r="S138" s="734"/>
      <c r="T138" s="734"/>
    </row>
    <row r="139" spans="1:20" s="717" customFormat="1" ht="11.25">
      <c r="A139" s="708"/>
      <c r="B139" s="814" t="s">
        <v>116</v>
      </c>
      <c r="C139" s="176" t="s">
        <v>4660</v>
      </c>
      <c r="D139" s="710"/>
      <c r="E139" s="710"/>
      <c r="F139" s="711"/>
      <c r="G139" s="828"/>
      <c r="H139" s="177"/>
      <c r="I139" s="776">
        <f>+ROUND('SP Min'!D259,0)</f>
        <v>0</v>
      </c>
      <c r="J139" s="776">
        <f>+ROUND('SP Min'!E259,0)</f>
        <v>2046903</v>
      </c>
      <c r="K139" s="787">
        <f t="shared" si="18"/>
        <v>-2046903</v>
      </c>
      <c r="L139" s="727">
        <f t="shared" si="17"/>
        <v>-1</v>
      </c>
      <c r="M139" s="722"/>
      <c r="Q139" s="734"/>
      <c r="R139" s="734"/>
      <c r="S139" s="734"/>
      <c r="T139" s="734"/>
    </row>
    <row r="140" spans="1:20" s="717" customFormat="1" ht="11.25">
      <c r="A140" s="708"/>
      <c r="B140" s="814" t="s">
        <v>4589</v>
      </c>
      <c r="C140" s="827" t="s">
        <v>4661</v>
      </c>
      <c r="D140" s="710"/>
      <c r="E140" s="710"/>
      <c r="F140" s="176"/>
      <c r="G140" s="828"/>
      <c r="H140" s="748"/>
      <c r="I140" s="776">
        <f>+ROUND('SP Min'!D270,0)</f>
        <v>0</v>
      </c>
      <c r="J140" s="776">
        <f>+ROUND('SP Min'!E270,0)</f>
        <v>0</v>
      </c>
      <c r="K140" s="787">
        <f>+I140-J140</f>
        <v>0</v>
      </c>
      <c r="L140" s="727" t="str">
        <f t="shared" si="17"/>
        <v xml:space="preserve">-    </v>
      </c>
      <c r="M140" s="722"/>
      <c r="Q140" s="734"/>
      <c r="R140" s="734"/>
      <c r="S140" s="734"/>
      <c r="T140" s="734"/>
    </row>
    <row r="141" spans="1:20" s="717" customFormat="1" ht="11.25">
      <c r="A141" s="708"/>
      <c r="B141" s="814" t="s">
        <v>4590</v>
      </c>
      <c r="C141" s="176" t="s">
        <v>4662</v>
      </c>
      <c r="D141" s="710"/>
      <c r="E141" s="710"/>
      <c r="F141" s="711"/>
      <c r="G141" s="720">
        <f t="shared" ref="G141:H141" si="19">G142+G143+G144+G145+G146+G147</f>
        <v>9352562</v>
      </c>
      <c r="H141" s="829">
        <f t="shared" si="19"/>
        <v>0</v>
      </c>
      <c r="I141" s="829">
        <f>I142+I143+I144+I145+I146+I147</f>
        <v>9352562</v>
      </c>
      <c r="J141" s="811">
        <f>J142+J143+J144+J145+J146+J147</f>
        <v>4369818</v>
      </c>
      <c r="K141" s="787">
        <f t="shared" si="18"/>
        <v>4982744</v>
      </c>
      <c r="L141" s="727">
        <f t="shared" si="17"/>
        <v>1.1402635075419616</v>
      </c>
      <c r="M141" s="722"/>
      <c r="Q141" s="734"/>
      <c r="R141" s="734"/>
      <c r="S141" s="734"/>
      <c r="T141" s="734"/>
    </row>
    <row r="142" spans="1:20" s="728" customFormat="1" ht="18" customHeight="1">
      <c r="A142" s="708"/>
      <c r="B142" s="710"/>
      <c r="C142" s="724" t="s">
        <v>4592</v>
      </c>
      <c r="D142" s="935" t="s">
        <v>4663</v>
      </c>
      <c r="E142" s="935"/>
      <c r="F142" s="936"/>
      <c r="G142" s="830">
        <v>2967195</v>
      </c>
      <c r="H142" s="831"/>
      <c r="I142" s="773">
        <f>+ROUND('SP Min'!D273+'SP Min'!D276+'SP Min'!D277+'SP Min'!D280+'SP Min'!D281,0)</f>
        <v>2967195</v>
      </c>
      <c r="J142" s="773">
        <f>+ROUND('SP Min'!E273+'SP Min'!E276+'SP Min'!E277+'SP Min'!E280+'SP Min'!E281,0)</f>
        <v>1883493</v>
      </c>
      <c r="K142" s="787">
        <f t="shared" si="18"/>
        <v>1083702</v>
      </c>
      <c r="L142" s="727">
        <f t="shared" si="17"/>
        <v>0.57536821214626233</v>
      </c>
      <c r="M142" s="722"/>
      <c r="Q142" s="732"/>
      <c r="R142" s="732"/>
      <c r="S142" s="732"/>
      <c r="T142" s="732"/>
    </row>
    <row r="143" spans="1:20" s="728" customFormat="1" ht="22.5" customHeight="1">
      <c r="A143" s="708"/>
      <c r="B143" s="710"/>
      <c r="C143" s="724" t="s">
        <v>4593</v>
      </c>
      <c r="D143" s="935" t="s">
        <v>4664</v>
      </c>
      <c r="E143" s="935"/>
      <c r="F143" s="936"/>
      <c r="G143" s="787">
        <v>0</v>
      </c>
      <c r="H143" s="831"/>
      <c r="I143" s="773">
        <f>+ROUND('SP Min'!D274,0)</f>
        <v>0</v>
      </c>
      <c r="J143" s="773">
        <f>+ROUND('SP Min'!E274,0)</f>
        <v>0</v>
      </c>
      <c r="K143" s="787">
        <f t="shared" si="18"/>
        <v>0</v>
      </c>
      <c r="L143" s="727" t="str">
        <f t="shared" si="17"/>
        <v xml:space="preserve">-    </v>
      </c>
      <c r="M143" s="722"/>
      <c r="Q143" s="732"/>
      <c r="R143" s="732"/>
      <c r="S143" s="732"/>
      <c r="T143" s="732"/>
    </row>
    <row r="144" spans="1:20" s="728" customFormat="1" ht="22.5" customHeight="1">
      <c r="A144" s="708"/>
      <c r="B144" s="710"/>
      <c r="C144" s="724" t="s">
        <v>4601</v>
      </c>
      <c r="D144" s="935" t="s">
        <v>4665</v>
      </c>
      <c r="E144" s="935"/>
      <c r="F144" s="936"/>
      <c r="G144" s="787">
        <v>0</v>
      </c>
      <c r="H144" s="831"/>
      <c r="I144" s="773">
        <f>+ROUND('SP Min'!D275,0)</f>
        <v>0</v>
      </c>
      <c r="J144" s="773">
        <f>+ROUND('SP Min'!E275,0)</f>
        <v>0</v>
      </c>
      <c r="K144" s="787">
        <f t="shared" si="18"/>
        <v>0</v>
      </c>
      <c r="L144" s="727" t="str">
        <f t="shared" si="17"/>
        <v xml:space="preserve">-    </v>
      </c>
      <c r="M144" s="722"/>
      <c r="Q144" s="732"/>
      <c r="R144" s="732"/>
      <c r="S144" s="732"/>
      <c r="T144" s="732"/>
    </row>
    <row r="145" spans="1:20" s="728" customFormat="1" ht="11.25">
      <c r="A145" s="708"/>
      <c r="B145" s="710"/>
      <c r="C145" s="724" t="s">
        <v>4602</v>
      </c>
      <c r="D145" s="935" t="s">
        <v>4666</v>
      </c>
      <c r="E145" s="935"/>
      <c r="F145" s="936"/>
      <c r="G145" s="830">
        <v>6284993</v>
      </c>
      <c r="H145" s="831"/>
      <c r="I145" s="731">
        <f>+ROUND('SP Min'!D278+'SP Min'!D279,0)</f>
        <v>6284993</v>
      </c>
      <c r="J145" s="773">
        <f>+ROUND('SP Min'!E278+'SP Min'!E279,0)</f>
        <v>2378175</v>
      </c>
      <c r="K145" s="787">
        <f t="shared" si="18"/>
        <v>3906818</v>
      </c>
      <c r="L145" s="727">
        <f t="shared" si="17"/>
        <v>1.6427798627098511</v>
      </c>
      <c r="M145" s="722"/>
      <c r="Q145" s="732"/>
      <c r="R145" s="732"/>
      <c r="S145" s="732"/>
      <c r="T145" s="732"/>
    </row>
    <row r="146" spans="1:20" s="728" customFormat="1" ht="21.6" customHeight="1">
      <c r="A146" s="708"/>
      <c r="B146" s="710"/>
      <c r="C146" s="724" t="s">
        <v>4667</v>
      </c>
      <c r="D146" s="935" t="s">
        <v>4668</v>
      </c>
      <c r="E146" s="935"/>
      <c r="F146" s="936"/>
      <c r="G146" s="830">
        <v>0</v>
      </c>
      <c r="H146" s="831"/>
      <c r="I146" s="773">
        <f>+ROUND('SP Min'!D283,0)</f>
        <v>0</v>
      </c>
      <c r="J146" s="773">
        <f>+ROUND('SP Min'!E283,0)</f>
        <v>0</v>
      </c>
      <c r="K146" s="787">
        <f t="shared" si="18"/>
        <v>0</v>
      </c>
      <c r="L146" s="727" t="str">
        <f t="shared" si="17"/>
        <v xml:space="preserve">-    </v>
      </c>
      <c r="M146" s="722"/>
      <c r="Q146" s="732"/>
      <c r="R146" s="732"/>
      <c r="S146" s="732"/>
      <c r="T146" s="732"/>
    </row>
    <row r="147" spans="1:20" s="728" customFormat="1" ht="11.25">
      <c r="A147" s="708"/>
      <c r="B147" s="710"/>
      <c r="C147" s="724" t="s">
        <v>4669</v>
      </c>
      <c r="D147" s="935" t="s">
        <v>4670</v>
      </c>
      <c r="E147" s="935"/>
      <c r="F147" s="936"/>
      <c r="G147" s="830">
        <v>100374</v>
      </c>
      <c r="H147" s="831"/>
      <c r="I147" s="773">
        <f>+ROUND('SP Min'!D282,0)</f>
        <v>100374</v>
      </c>
      <c r="J147" s="773">
        <f>+ROUND('SP Min'!E282,0)</f>
        <v>108150</v>
      </c>
      <c r="K147" s="787">
        <f t="shared" si="18"/>
        <v>-7776</v>
      </c>
      <c r="L147" s="727">
        <f t="shared" si="17"/>
        <v>-7.1900138696255195E-2</v>
      </c>
      <c r="M147" s="722"/>
      <c r="Q147" s="732"/>
      <c r="R147" s="732"/>
      <c r="S147" s="732"/>
      <c r="T147" s="732"/>
    </row>
    <row r="148" spans="1:20" s="717" customFormat="1" ht="11.25">
      <c r="A148" s="708"/>
      <c r="B148" s="814" t="s">
        <v>4594</v>
      </c>
      <c r="C148" s="814" t="s">
        <v>4671</v>
      </c>
      <c r="D148" s="814"/>
      <c r="E148" s="710"/>
      <c r="F148" s="176"/>
      <c r="G148" s="828">
        <v>77</v>
      </c>
      <c r="H148" s="188"/>
      <c r="I148" s="776">
        <f>+ROUND('SP Min'!D289,0)</f>
        <v>77</v>
      </c>
      <c r="J148" s="776">
        <f>+ROUND('SP Min'!E289,0)</f>
        <v>77</v>
      </c>
      <c r="K148" s="721">
        <f t="shared" si="18"/>
        <v>0</v>
      </c>
      <c r="L148" s="716">
        <f t="shared" si="17"/>
        <v>0</v>
      </c>
      <c r="M148" s="722"/>
      <c r="Q148" s="734"/>
      <c r="R148" s="734"/>
      <c r="S148" s="734"/>
      <c r="T148" s="734"/>
    </row>
    <row r="149" spans="1:20" s="717" customFormat="1" ht="11.25">
      <c r="A149" s="708"/>
      <c r="B149" s="814" t="s">
        <v>4595</v>
      </c>
      <c r="C149" s="176" t="s">
        <v>4672</v>
      </c>
      <c r="D149" s="814"/>
      <c r="E149" s="710"/>
      <c r="F149" s="176"/>
      <c r="G149" s="828">
        <v>10626764</v>
      </c>
      <c r="H149" s="187"/>
      <c r="I149" s="720">
        <f>+ROUND('SP Min'!D293,0)</f>
        <v>10626764</v>
      </c>
      <c r="J149" s="776">
        <f>+ROUND('SP Min'!E293,0)</f>
        <v>9439153</v>
      </c>
      <c r="K149" s="721">
        <f t="shared" si="18"/>
        <v>1187611</v>
      </c>
      <c r="L149" s="716">
        <f t="shared" si="17"/>
        <v>0.12581753892536757</v>
      </c>
      <c r="M149" s="722"/>
      <c r="Q149" s="734"/>
      <c r="R149" s="734"/>
      <c r="S149" s="734"/>
      <c r="T149" s="734"/>
    </row>
    <row r="150" spans="1:20" s="717" customFormat="1" ht="11.25">
      <c r="A150" s="708"/>
      <c r="B150" s="814" t="s">
        <v>4596</v>
      </c>
      <c r="C150" s="176" t="s">
        <v>4673</v>
      </c>
      <c r="D150" s="814"/>
      <c r="E150" s="710"/>
      <c r="F150" s="176"/>
      <c r="G150" s="830">
        <v>0</v>
      </c>
      <c r="H150" s="188"/>
      <c r="I150" s="720">
        <f>+ROUND('SP Min'!D300,0)</f>
        <v>0</v>
      </c>
      <c r="J150" s="776">
        <f>+ROUND('SP Min'!E300,0)</f>
        <v>0</v>
      </c>
      <c r="K150" s="721">
        <f t="shared" si="18"/>
        <v>0</v>
      </c>
      <c r="L150" s="716" t="str">
        <f t="shared" si="17"/>
        <v xml:space="preserve">-    </v>
      </c>
      <c r="M150" s="722"/>
      <c r="Q150" s="734"/>
      <c r="R150" s="734"/>
      <c r="S150" s="734"/>
      <c r="T150" s="734"/>
    </row>
    <row r="151" spans="1:20" s="717" customFormat="1" ht="11.25">
      <c r="A151" s="708"/>
      <c r="B151" s="814" t="s">
        <v>4597</v>
      </c>
      <c r="C151" s="176" t="s">
        <v>4674</v>
      </c>
      <c r="D151" s="814"/>
      <c r="E151" s="710"/>
      <c r="F151" s="832"/>
      <c r="G151" s="828">
        <v>2198117</v>
      </c>
      <c r="H151" s="188"/>
      <c r="I151" s="720">
        <f>+ROUND('SP Min'!D301,0)</f>
        <v>2198117</v>
      </c>
      <c r="J151" s="776">
        <f>+ROUND('SP Min'!E301,0)</f>
        <v>2245147</v>
      </c>
      <c r="K151" s="721">
        <f t="shared" si="18"/>
        <v>-47030</v>
      </c>
      <c r="L151" s="716">
        <f t="shared" si="17"/>
        <v>-2.0947403443961576E-2</v>
      </c>
      <c r="M151" s="722"/>
      <c r="Q151" s="734"/>
      <c r="R151" s="734"/>
      <c r="S151" s="734"/>
      <c r="T151" s="734"/>
    </row>
    <row r="152" spans="1:20" s="717" customFormat="1" ht="11.25">
      <c r="A152" s="833"/>
      <c r="B152" s="834" t="s">
        <v>4675</v>
      </c>
      <c r="C152" s="176" t="s">
        <v>4676</v>
      </c>
      <c r="D152" s="834"/>
      <c r="E152" s="697"/>
      <c r="F152" s="832"/>
      <c r="G152" s="830">
        <v>0</v>
      </c>
      <c r="H152" s="184"/>
      <c r="I152" s="720">
        <f>+ROUND('SP Min'!D304,0)</f>
        <v>0</v>
      </c>
      <c r="J152" s="776">
        <f>+ROUND('SP Min'!E304,0)</f>
        <v>0</v>
      </c>
      <c r="K152" s="721">
        <f t="shared" si="18"/>
        <v>0</v>
      </c>
      <c r="L152" s="716" t="str">
        <f t="shared" si="17"/>
        <v xml:space="preserve">-    </v>
      </c>
      <c r="M152" s="722"/>
      <c r="Q152" s="734"/>
      <c r="R152" s="734"/>
      <c r="S152" s="734"/>
      <c r="T152" s="734"/>
    </row>
    <row r="153" spans="1:20" s="717" customFormat="1" ht="11.25">
      <c r="A153" s="708"/>
      <c r="B153" s="814" t="s">
        <v>4677</v>
      </c>
      <c r="C153" s="176" t="s">
        <v>4678</v>
      </c>
      <c r="D153" s="814"/>
      <c r="E153" s="710"/>
      <c r="F153" s="176"/>
      <c r="G153" s="828">
        <v>1882677</v>
      </c>
      <c r="H153" s="188"/>
      <c r="I153" s="720">
        <f>+ROUND(+'SP Min'!D302,0)</f>
        <v>1882677</v>
      </c>
      <c r="J153" s="776">
        <f>+ROUND(+'SP Min'!E302,0)</f>
        <v>1835808</v>
      </c>
      <c r="K153" s="721">
        <f t="shared" si="18"/>
        <v>46869</v>
      </c>
      <c r="L153" s="716">
        <f t="shared" si="17"/>
        <v>2.5530447628510172E-2</v>
      </c>
      <c r="M153" s="722"/>
      <c r="Q153" s="734"/>
      <c r="R153" s="734"/>
      <c r="S153" s="734"/>
      <c r="T153" s="734"/>
    </row>
    <row r="154" spans="1:20" s="717" customFormat="1" ht="11.25">
      <c r="A154" s="708"/>
      <c r="B154" s="814" t="s">
        <v>4679</v>
      </c>
      <c r="C154" s="176" t="s">
        <v>4680</v>
      </c>
      <c r="D154" s="814"/>
      <c r="E154" s="710"/>
      <c r="F154" s="711"/>
      <c r="G154" s="835">
        <v>4709211</v>
      </c>
      <c r="H154" s="836"/>
      <c r="I154" s="720">
        <f>+ROUND('SP Min'!D307+'SP Min'!D305+'SP Min'!D306,0)</f>
        <v>4709211</v>
      </c>
      <c r="J154" s="776">
        <f>+ROUND('SP Min'!E307+'SP Min'!E305+'SP Min'!E306,0)</f>
        <v>5267058</v>
      </c>
      <c r="K154" s="721">
        <f t="shared" si="18"/>
        <v>-557847</v>
      </c>
      <c r="L154" s="716">
        <f t="shared" si="17"/>
        <v>-0.10591244675870287</v>
      </c>
      <c r="M154" s="722"/>
      <c r="Q154" s="734"/>
      <c r="R154" s="734"/>
      <c r="S154" s="734"/>
      <c r="T154" s="734"/>
    </row>
    <row r="155" spans="1:20" s="717" customFormat="1" ht="11.25">
      <c r="A155" s="937" t="s">
        <v>4635</v>
      </c>
      <c r="B155" s="938"/>
      <c r="C155" s="938"/>
      <c r="D155" s="938"/>
      <c r="E155" s="938"/>
      <c r="F155" s="938"/>
      <c r="G155" s="939"/>
      <c r="H155" s="940"/>
      <c r="I155" s="753">
        <f>SUM(I137:I141)+SUM(I148:I154)</f>
        <v>28769408</v>
      </c>
      <c r="J155" s="753">
        <f>SUM(J137:J141)+SUM(J148:J154)</f>
        <v>25203964</v>
      </c>
      <c r="K155" s="817">
        <f t="shared" si="18"/>
        <v>3565444</v>
      </c>
      <c r="L155" s="147">
        <f t="shared" si="17"/>
        <v>0.1414636205638129</v>
      </c>
      <c r="M155" s="722"/>
      <c r="Q155" s="734"/>
      <c r="R155" s="734"/>
      <c r="S155" s="734"/>
      <c r="T155" s="734"/>
    </row>
    <row r="156" spans="1:20" s="717" customFormat="1" ht="11.25">
      <c r="A156" s="818" t="s">
        <v>97</v>
      </c>
      <c r="B156" s="176" t="s">
        <v>3896</v>
      </c>
      <c r="C156" s="814"/>
      <c r="D156" s="814"/>
      <c r="E156" s="710"/>
      <c r="F156" s="711"/>
      <c r="G156" s="819"/>
      <c r="H156" s="188"/>
      <c r="I156" s="811"/>
      <c r="J156" s="811"/>
      <c r="K156" s="721">
        <f t="shared" si="18"/>
        <v>0</v>
      </c>
      <c r="L156" s="165" t="str">
        <f t="shared" si="17"/>
        <v xml:space="preserve">-    </v>
      </c>
      <c r="M156" s="722"/>
      <c r="Q156" s="734"/>
      <c r="R156" s="734"/>
      <c r="S156" s="734"/>
      <c r="T156" s="734"/>
    </row>
    <row r="157" spans="1:20" s="717" customFormat="1" ht="11.25">
      <c r="A157" s="818"/>
      <c r="B157" s="814" t="s">
        <v>86</v>
      </c>
      <c r="C157" s="176" t="s">
        <v>3898</v>
      </c>
      <c r="D157" s="814"/>
      <c r="E157" s="710"/>
      <c r="F157" s="719"/>
      <c r="G157" s="712"/>
      <c r="H157" s="188"/>
      <c r="I157" s="776">
        <f>+ROUND(+'SP Min'!D309,0)</f>
        <v>0</v>
      </c>
      <c r="J157" s="776">
        <f>+ROUND(+'SP Min'!E309,0)</f>
        <v>398</v>
      </c>
      <c r="K157" s="787">
        <f t="shared" si="18"/>
        <v>-398</v>
      </c>
      <c r="L157" s="727">
        <f t="shared" si="17"/>
        <v>-1</v>
      </c>
      <c r="M157" s="722"/>
      <c r="Q157" s="734"/>
      <c r="R157" s="734"/>
      <c r="S157" s="734"/>
      <c r="T157" s="734"/>
    </row>
    <row r="158" spans="1:20" s="717" customFormat="1" ht="11.25">
      <c r="A158" s="818"/>
      <c r="B158" s="814" t="s">
        <v>88</v>
      </c>
      <c r="C158" s="176" t="s">
        <v>3903</v>
      </c>
      <c r="D158" s="814"/>
      <c r="E158" s="710"/>
      <c r="F158" s="711"/>
      <c r="G158" s="820"/>
      <c r="H158" s="188"/>
      <c r="I158" s="776">
        <f>+ROUND(+'SP Min'!D312,0)</f>
        <v>0</v>
      </c>
      <c r="J158" s="776">
        <f>+ROUND(+'SP Min'!E312,0)</f>
        <v>0</v>
      </c>
      <c r="K158" s="787">
        <f t="shared" si="18"/>
        <v>0</v>
      </c>
      <c r="L158" s="727" t="str">
        <f t="shared" si="17"/>
        <v xml:space="preserve">-    </v>
      </c>
      <c r="M158" s="722"/>
      <c r="Q158" s="734"/>
      <c r="R158" s="734"/>
      <c r="S158" s="734"/>
      <c r="T158" s="734"/>
    </row>
    <row r="159" spans="1:20" s="717" customFormat="1" ht="11.25">
      <c r="A159" s="937" t="s">
        <v>4681</v>
      </c>
      <c r="B159" s="938"/>
      <c r="C159" s="938"/>
      <c r="D159" s="938"/>
      <c r="E159" s="938"/>
      <c r="F159" s="938"/>
      <c r="G159" s="941"/>
      <c r="H159" s="940"/>
      <c r="I159" s="753">
        <f>SUM(I157:I158)</f>
        <v>0</v>
      </c>
      <c r="J159" s="753">
        <f>SUM(J157:J158)</f>
        <v>398</v>
      </c>
      <c r="K159" s="817">
        <f t="shared" si="18"/>
        <v>-398</v>
      </c>
      <c r="L159" s="147">
        <f t="shared" si="17"/>
        <v>-1</v>
      </c>
      <c r="M159" s="722"/>
      <c r="Q159" s="734"/>
      <c r="R159" s="734"/>
      <c r="S159" s="734"/>
      <c r="T159" s="734"/>
    </row>
    <row r="160" spans="1:20" s="717" customFormat="1" ht="12" thickBot="1">
      <c r="A160" s="708"/>
      <c r="B160" s="710"/>
      <c r="C160" s="710"/>
      <c r="D160" s="710"/>
      <c r="E160" s="710"/>
      <c r="F160" s="719"/>
      <c r="G160" s="819"/>
      <c r="H160" s="188"/>
      <c r="I160" s="811"/>
      <c r="J160" s="811"/>
      <c r="K160" s="721">
        <f t="shared" si="18"/>
        <v>0</v>
      </c>
      <c r="L160" s="165" t="str">
        <f t="shared" si="17"/>
        <v xml:space="preserve">-    </v>
      </c>
      <c r="M160" s="722"/>
      <c r="Q160" s="734"/>
      <c r="R160" s="734"/>
      <c r="S160" s="734"/>
      <c r="T160" s="734"/>
    </row>
    <row r="161" spans="1:20" s="717" customFormat="1" ht="12" thickBot="1">
      <c r="A161" s="942" t="s">
        <v>4682</v>
      </c>
      <c r="B161" s="943"/>
      <c r="C161" s="943"/>
      <c r="D161" s="943"/>
      <c r="E161" s="943"/>
      <c r="F161" s="943"/>
      <c r="G161" s="943"/>
      <c r="H161" s="944"/>
      <c r="I161" s="788">
        <f>I123+I130+I134+I155+I159</f>
        <v>111563634</v>
      </c>
      <c r="J161" s="788">
        <f>J123+J130+J134+J155+J159</f>
        <v>109775458</v>
      </c>
      <c r="K161" s="837">
        <f t="shared" si="18"/>
        <v>1788176</v>
      </c>
      <c r="L161" s="148">
        <f t="shared" si="17"/>
        <v>1.6289396852254535E-2</v>
      </c>
      <c r="M161" s="722"/>
      <c r="Q161" s="734"/>
      <c r="R161" s="734"/>
      <c r="S161" s="734"/>
      <c r="T161" s="734"/>
    </row>
    <row r="162" spans="1:20" s="717" customFormat="1" ht="11.25">
      <c r="A162" s="818" t="s">
        <v>4683</v>
      </c>
      <c r="B162" s="176" t="s">
        <v>3915</v>
      </c>
      <c r="C162" s="814"/>
      <c r="D162" s="814"/>
      <c r="E162" s="814"/>
      <c r="F162" s="834"/>
      <c r="G162" s="761"/>
      <c r="H162" s="782"/>
      <c r="I162" s="783"/>
      <c r="J162" s="783"/>
      <c r="K162" s="721" t="s">
        <v>3844</v>
      </c>
      <c r="L162" s="165" t="s">
        <v>3844</v>
      </c>
      <c r="M162" s="722"/>
      <c r="Q162" s="734"/>
      <c r="R162" s="734"/>
      <c r="S162" s="734"/>
      <c r="T162" s="734"/>
    </row>
    <row r="163" spans="1:20" s="717" customFormat="1" ht="11.25">
      <c r="A163" s="818"/>
      <c r="B163" s="814" t="s">
        <v>4631</v>
      </c>
      <c r="C163" s="176" t="s">
        <v>4632</v>
      </c>
      <c r="D163" s="814"/>
      <c r="E163" s="814"/>
      <c r="F163" s="719"/>
      <c r="G163" s="761"/>
      <c r="H163" s="782"/>
      <c r="I163" s="776">
        <f>+ROUND(+'SP Min'!D318,0)</f>
        <v>116759</v>
      </c>
      <c r="J163" s="776">
        <f>+ROUND(+'SP Min'!E318,0)</f>
        <v>20264</v>
      </c>
      <c r="K163" s="787">
        <f t="shared" si="18"/>
        <v>96495</v>
      </c>
      <c r="L163" s="727">
        <f t="shared" si="17"/>
        <v>4.7618930122384526</v>
      </c>
      <c r="M163" s="722"/>
      <c r="Q163" s="734"/>
      <c r="R163" s="734"/>
      <c r="S163" s="734"/>
      <c r="T163" s="734"/>
    </row>
    <row r="164" spans="1:20" s="717" customFormat="1" ht="11.25">
      <c r="A164" s="818"/>
      <c r="B164" s="814" t="s">
        <v>88</v>
      </c>
      <c r="C164" s="719" t="s">
        <v>3894</v>
      </c>
      <c r="D164" s="814"/>
      <c r="E164" s="814"/>
      <c r="F164" s="834"/>
      <c r="G164" s="761"/>
      <c r="H164" s="782"/>
      <c r="I164" s="776">
        <f>+ROUND(+'SP Min'!D319,0)</f>
        <v>0</v>
      </c>
      <c r="J164" s="776">
        <f>+ROUND(+'SP Min'!E319,0)</f>
        <v>0</v>
      </c>
      <c r="K164" s="787">
        <f t="shared" si="18"/>
        <v>0</v>
      </c>
      <c r="L164" s="727" t="str">
        <f t="shared" si="17"/>
        <v xml:space="preserve">-    </v>
      </c>
      <c r="M164" s="722"/>
      <c r="Q164" s="734"/>
      <c r="R164" s="734"/>
      <c r="S164" s="734"/>
      <c r="T164" s="734"/>
    </row>
    <row r="165" spans="1:20" s="717" customFormat="1" ht="11.25">
      <c r="A165" s="818"/>
      <c r="B165" s="719" t="s">
        <v>116</v>
      </c>
      <c r="C165" s="814" t="s">
        <v>4633</v>
      </c>
      <c r="D165" s="814"/>
      <c r="E165" s="814"/>
      <c r="F165" s="834"/>
      <c r="G165" s="761"/>
      <c r="H165" s="782"/>
      <c r="I165" s="776">
        <f>+ROUND(+'SP Min'!D320,0)</f>
        <v>0</v>
      </c>
      <c r="J165" s="776">
        <f>+ROUND(+'SP Min'!E320,0)</f>
        <v>0</v>
      </c>
      <c r="K165" s="787">
        <f t="shared" si="18"/>
        <v>0</v>
      </c>
      <c r="L165" s="727" t="str">
        <f t="shared" si="17"/>
        <v xml:space="preserve">-    </v>
      </c>
      <c r="M165" s="722"/>
      <c r="Q165" s="734"/>
      <c r="R165" s="734"/>
      <c r="S165" s="734"/>
      <c r="T165" s="734"/>
    </row>
    <row r="166" spans="1:20" s="717" customFormat="1" ht="11.25">
      <c r="A166" s="818"/>
      <c r="B166" s="814" t="s">
        <v>4589</v>
      </c>
      <c r="C166" s="176" t="s">
        <v>4634</v>
      </c>
      <c r="D166" s="814"/>
      <c r="E166" s="814"/>
      <c r="F166" s="719"/>
      <c r="G166" s="784"/>
      <c r="H166" s="782"/>
      <c r="I166" s="776">
        <f>+ROUND(+'SP Min'!D321+'SP Min'!D322,0)</f>
        <v>2781638</v>
      </c>
      <c r="J166" s="776">
        <f>+ROUND(+'SP Min'!E321+'SP Min'!E322,0)</f>
        <v>2782163</v>
      </c>
      <c r="K166" s="787">
        <f t="shared" si="18"/>
        <v>-525</v>
      </c>
      <c r="L166" s="727">
        <f t="shared" si="17"/>
        <v>-1.8870209976913646E-4</v>
      </c>
      <c r="M166" s="722"/>
      <c r="Q166" s="734"/>
      <c r="R166" s="734"/>
      <c r="S166" s="734"/>
      <c r="T166" s="734"/>
    </row>
    <row r="167" spans="1:20" s="717" customFormat="1" ht="12" thickBot="1">
      <c r="A167" s="931" t="s">
        <v>4684</v>
      </c>
      <c r="B167" s="932"/>
      <c r="C167" s="932"/>
      <c r="D167" s="932"/>
      <c r="E167" s="932"/>
      <c r="F167" s="932"/>
      <c r="G167" s="933"/>
      <c r="H167" s="934"/>
      <c r="I167" s="791">
        <f>SUM(I163:I166)</f>
        <v>2898397</v>
      </c>
      <c r="J167" s="791">
        <f>SUM(J163:J166)</f>
        <v>2802427</v>
      </c>
      <c r="K167" s="792">
        <f t="shared" si="18"/>
        <v>95970</v>
      </c>
      <c r="L167" s="793">
        <f t="shared" si="17"/>
        <v>3.4245316648747672E-2</v>
      </c>
      <c r="M167" s="722"/>
      <c r="Q167" s="734"/>
      <c r="R167" s="734"/>
      <c r="S167" s="734"/>
      <c r="T167" s="734"/>
    </row>
    <row r="168" spans="1:20" s="728" customFormat="1" ht="11.25">
      <c r="A168" s="838"/>
      <c r="B168" s="838"/>
      <c r="C168" s="838"/>
      <c r="D168" s="838"/>
      <c r="E168" s="838"/>
      <c r="I168" s="839"/>
      <c r="J168" s="839"/>
      <c r="K168" s="840"/>
      <c r="L168" s="841"/>
    </row>
    <row r="169" spans="1:20" s="728" customFormat="1" ht="11.25">
      <c r="A169" s="838"/>
      <c r="B169" s="838"/>
      <c r="C169" s="838"/>
      <c r="D169" s="838"/>
      <c r="E169" s="838"/>
      <c r="F169" s="842" t="s">
        <v>3844</v>
      </c>
      <c r="I169" s="839">
        <f>+I92-I161</f>
        <v>0</v>
      </c>
      <c r="J169" s="839">
        <f>+J92-J161</f>
        <v>1</v>
      </c>
      <c r="K169" s="840"/>
      <c r="L169" s="841"/>
    </row>
    <row r="170" spans="1:20" s="728" customFormat="1" ht="11.25">
      <c r="A170" s="838"/>
      <c r="B170" s="838"/>
      <c r="C170" s="838"/>
      <c r="D170" s="838"/>
      <c r="E170" s="838"/>
      <c r="I170" s="839"/>
      <c r="J170" s="839"/>
      <c r="K170" s="840"/>
      <c r="L170" s="841"/>
    </row>
    <row r="171" spans="1:20" s="728" customFormat="1" ht="11.25">
      <c r="A171" s="838"/>
      <c r="B171" s="838"/>
      <c r="C171" s="838"/>
      <c r="D171" s="838"/>
      <c r="E171" s="838"/>
      <c r="I171" s="839">
        <f>+I167-I98</f>
        <v>0</v>
      </c>
      <c r="J171" s="839">
        <f>+J167-J98</f>
        <v>0</v>
      </c>
      <c r="K171" s="840"/>
      <c r="L171" s="841"/>
    </row>
    <row r="172" spans="1:20" s="728" customFormat="1" ht="11.25">
      <c r="A172" s="838"/>
      <c r="B172" s="838"/>
      <c r="C172" s="838"/>
      <c r="D172" s="838"/>
      <c r="E172" s="838"/>
      <c r="I172" s="839"/>
      <c r="J172" s="839"/>
      <c r="K172" s="840"/>
      <c r="L172" s="841"/>
    </row>
    <row r="173" spans="1:20" s="728" customFormat="1" ht="11.25">
      <c r="A173" s="838"/>
      <c r="B173" s="838"/>
      <c r="C173" s="838"/>
      <c r="D173" s="838"/>
      <c r="E173" s="838"/>
      <c r="I173" s="839"/>
      <c r="J173" s="839"/>
      <c r="K173" s="840"/>
      <c r="L173" s="841"/>
    </row>
    <row r="174" spans="1:20" s="728" customFormat="1" ht="11.25">
      <c r="A174" s="838"/>
      <c r="B174" s="838"/>
      <c r="C174" s="838"/>
      <c r="D174" s="838"/>
      <c r="E174" s="838"/>
      <c r="I174" s="839"/>
      <c r="J174" s="839"/>
      <c r="K174" s="840"/>
      <c r="L174" s="841"/>
    </row>
    <row r="175" spans="1:20" s="728" customFormat="1" ht="11.25">
      <c r="A175" s="838"/>
      <c r="B175" s="838"/>
      <c r="C175" s="838"/>
      <c r="D175" s="838"/>
      <c r="E175" s="838"/>
      <c r="I175" s="839"/>
      <c r="J175" s="839"/>
      <c r="K175" s="840"/>
      <c r="L175" s="841"/>
    </row>
    <row r="176" spans="1:20" s="728" customFormat="1" ht="11.25">
      <c r="A176" s="838"/>
      <c r="B176" s="838"/>
      <c r="C176" s="838"/>
      <c r="D176" s="838"/>
      <c r="E176" s="838"/>
      <c r="I176" s="839"/>
      <c r="J176" s="839"/>
      <c r="K176" s="840"/>
      <c r="L176" s="841"/>
    </row>
    <row r="177" spans="1:12" s="728" customFormat="1" ht="11.25">
      <c r="A177" s="838"/>
      <c r="B177" s="838"/>
      <c r="C177" s="838"/>
      <c r="D177" s="838"/>
      <c r="E177" s="838"/>
      <c r="I177" s="839"/>
      <c r="J177" s="839"/>
      <c r="K177" s="840"/>
      <c r="L177" s="841"/>
    </row>
    <row r="178" spans="1:12" s="728" customFormat="1" ht="11.25">
      <c r="A178" s="838"/>
      <c r="B178" s="838"/>
      <c r="C178" s="838"/>
      <c r="D178" s="838"/>
      <c r="E178" s="838"/>
      <c r="I178" s="839"/>
      <c r="J178" s="839"/>
      <c r="K178" s="840"/>
      <c r="L178" s="841"/>
    </row>
    <row r="179" spans="1:12" s="728" customFormat="1" ht="11.25">
      <c r="A179" s="838"/>
      <c r="B179" s="838"/>
      <c r="C179" s="838"/>
      <c r="D179" s="838"/>
      <c r="E179" s="838"/>
      <c r="I179" s="839"/>
      <c r="J179" s="839"/>
      <c r="K179" s="840"/>
      <c r="L179" s="841"/>
    </row>
    <row r="180" spans="1:12" s="728" customFormat="1" ht="11.25">
      <c r="A180" s="838"/>
      <c r="B180" s="838"/>
      <c r="C180" s="838"/>
      <c r="D180" s="838"/>
      <c r="E180" s="838"/>
      <c r="I180" s="839"/>
      <c r="J180" s="839"/>
      <c r="K180" s="840"/>
      <c r="L180" s="841"/>
    </row>
    <row r="181" spans="1:12" s="728" customFormat="1" ht="11.25">
      <c r="A181" s="838"/>
      <c r="B181" s="838"/>
      <c r="C181" s="838"/>
      <c r="D181" s="838"/>
      <c r="E181" s="838"/>
      <c r="I181" s="839"/>
      <c r="J181" s="839"/>
      <c r="K181" s="840"/>
      <c r="L181" s="841"/>
    </row>
    <row r="182" spans="1:12" s="728" customFormat="1" ht="11.25">
      <c r="A182" s="838"/>
      <c r="B182" s="838"/>
      <c r="C182" s="838"/>
      <c r="D182" s="838"/>
      <c r="E182" s="838"/>
      <c r="I182" s="839"/>
      <c r="J182" s="839"/>
      <c r="K182" s="840"/>
      <c r="L182" s="841"/>
    </row>
    <row r="183" spans="1:12" s="728" customFormat="1" ht="11.25">
      <c r="A183" s="838"/>
      <c r="B183" s="838"/>
      <c r="C183" s="838"/>
      <c r="D183" s="838"/>
      <c r="E183" s="838"/>
      <c r="I183" s="839"/>
      <c r="J183" s="839"/>
      <c r="K183" s="840"/>
      <c r="L183" s="841"/>
    </row>
    <row r="184" spans="1:12" s="728" customFormat="1" ht="11.25">
      <c r="A184" s="838"/>
      <c r="B184" s="838"/>
      <c r="C184" s="838"/>
      <c r="D184" s="838"/>
      <c r="E184" s="838"/>
      <c r="I184" s="839"/>
      <c r="J184" s="839"/>
      <c r="K184" s="840"/>
      <c r="L184" s="841"/>
    </row>
    <row r="185" spans="1:12" s="728" customFormat="1" ht="11.25">
      <c r="A185" s="838"/>
      <c r="B185" s="838"/>
      <c r="C185" s="838"/>
      <c r="D185" s="838"/>
      <c r="E185" s="838"/>
      <c r="I185" s="839"/>
      <c r="J185" s="839"/>
      <c r="K185" s="840"/>
      <c r="L185" s="841"/>
    </row>
    <row r="186" spans="1:12" s="728" customFormat="1" ht="11.25">
      <c r="A186" s="838"/>
      <c r="B186" s="838"/>
      <c r="C186" s="838"/>
      <c r="D186" s="838"/>
      <c r="E186" s="838"/>
      <c r="I186" s="839"/>
      <c r="J186" s="839"/>
      <c r="K186" s="840"/>
      <c r="L186" s="841"/>
    </row>
    <row r="187" spans="1:12" s="728" customFormat="1" ht="11.25">
      <c r="A187" s="838"/>
      <c r="B187" s="838"/>
      <c r="C187" s="838"/>
      <c r="D187" s="838"/>
      <c r="E187" s="838"/>
      <c r="I187" s="839"/>
      <c r="J187" s="839"/>
      <c r="K187" s="840"/>
      <c r="L187" s="841"/>
    </row>
    <row r="188" spans="1:12" s="728" customFormat="1" ht="11.25">
      <c r="A188" s="838"/>
      <c r="B188" s="838"/>
      <c r="C188" s="838"/>
      <c r="D188" s="838"/>
      <c r="E188" s="838"/>
      <c r="I188" s="839"/>
      <c r="J188" s="839"/>
      <c r="K188" s="840"/>
      <c r="L188" s="841"/>
    </row>
    <row r="189" spans="1:12" s="728" customFormat="1" ht="11.25">
      <c r="A189" s="838"/>
      <c r="B189" s="838"/>
      <c r="C189" s="838"/>
      <c r="D189" s="838"/>
      <c r="E189" s="838"/>
      <c r="I189" s="839"/>
      <c r="J189" s="839"/>
      <c r="K189" s="840"/>
      <c r="L189" s="841"/>
    </row>
    <row r="190" spans="1:12" s="728" customFormat="1" ht="11.25">
      <c r="A190" s="838"/>
      <c r="B190" s="838"/>
      <c r="C190" s="838"/>
      <c r="D190" s="838"/>
      <c r="E190" s="838"/>
      <c r="I190" s="839"/>
      <c r="J190" s="839"/>
      <c r="K190" s="840"/>
      <c r="L190" s="841"/>
    </row>
    <row r="191" spans="1:12" s="728" customFormat="1" ht="11.25">
      <c r="A191" s="838"/>
      <c r="B191" s="838"/>
      <c r="C191" s="838"/>
      <c r="D191" s="838"/>
      <c r="E191" s="838"/>
      <c r="I191" s="839"/>
      <c r="J191" s="839"/>
      <c r="K191" s="840"/>
      <c r="L191" s="841"/>
    </row>
    <row r="192" spans="1:12" s="728" customFormat="1" ht="11.25">
      <c r="A192" s="838"/>
      <c r="B192" s="838"/>
      <c r="C192" s="838"/>
      <c r="D192" s="838"/>
      <c r="E192" s="838"/>
      <c r="I192" s="839"/>
      <c r="J192" s="839"/>
      <c r="K192" s="840"/>
      <c r="L192" s="841"/>
    </row>
    <row r="193" spans="1:12" s="728" customFormat="1" ht="11.25">
      <c r="A193" s="838"/>
      <c r="B193" s="838"/>
      <c r="C193" s="838"/>
      <c r="D193" s="838"/>
      <c r="E193" s="838"/>
      <c r="I193" s="839"/>
      <c r="J193" s="839"/>
      <c r="K193" s="840"/>
      <c r="L193" s="841"/>
    </row>
    <row r="194" spans="1:12" s="728" customFormat="1" ht="11.25">
      <c r="A194" s="838"/>
      <c r="B194" s="838"/>
      <c r="C194" s="838"/>
      <c r="D194" s="838"/>
      <c r="E194" s="838"/>
      <c r="I194" s="839"/>
      <c r="J194" s="839"/>
      <c r="K194" s="840"/>
      <c r="L194" s="841"/>
    </row>
    <row r="195" spans="1:12" s="728" customFormat="1" ht="11.25">
      <c r="A195" s="838"/>
      <c r="B195" s="838"/>
      <c r="C195" s="838"/>
      <c r="D195" s="838"/>
      <c r="E195" s="838"/>
      <c r="I195" s="839"/>
      <c r="J195" s="839"/>
      <c r="K195" s="840"/>
      <c r="L195" s="841"/>
    </row>
    <row r="196" spans="1:12" s="728" customFormat="1" ht="11.25">
      <c r="A196" s="838"/>
      <c r="B196" s="838"/>
      <c r="C196" s="838"/>
      <c r="D196" s="838"/>
      <c r="E196" s="838"/>
      <c r="I196" s="839"/>
      <c r="J196" s="839"/>
      <c r="K196" s="840"/>
      <c r="L196" s="841"/>
    </row>
    <row r="197" spans="1:12" s="728" customFormat="1" ht="11.25">
      <c r="A197" s="838"/>
      <c r="B197" s="838"/>
      <c r="C197" s="838"/>
      <c r="D197" s="838"/>
      <c r="E197" s="838"/>
      <c r="I197" s="839"/>
      <c r="J197" s="839"/>
      <c r="K197" s="840"/>
      <c r="L197" s="841"/>
    </row>
    <row r="198" spans="1:12" s="728" customFormat="1" ht="11.25">
      <c r="A198" s="838"/>
      <c r="B198" s="838"/>
      <c r="C198" s="838"/>
      <c r="D198" s="838"/>
      <c r="E198" s="838"/>
      <c r="I198" s="839"/>
      <c r="J198" s="839"/>
      <c r="K198" s="840"/>
      <c r="L198" s="841"/>
    </row>
    <row r="199" spans="1:12" s="728" customFormat="1" ht="11.25">
      <c r="A199" s="838"/>
      <c r="B199" s="838"/>
      <c r="C199" s="838"/>
      <c r="D199" s="838"/>
      <c r="E199" s="838"/>
      <c r="I199" s="839"/>
      <c r="J199" s="839"/>
      <c r="K199" s="840"/>
      <c r="L199" s="841"/>
    </row>
    <row r="200" spans="1:12" s="728" customFormat="1" ht="11.25">
      <c r="A200" s="838"/>
      <c r="B200" s="838"/>
      <c r="C200" s="838"/>
      <c r="D200" s="838"/>
      <c r="E200" s="838"/>
      <c r="I200" s="839"/>
      <c r="J200" s="839"/>
      <c r="K200" s="840"/>
      <c r="L200" s="841"/>
    </row>
    <row r="201" spans="1:12" s="728" customFormat="1" ht="11.25">
      <c r="A201" s="838"/>
      <c r="B201" s="838"/>
      <c r="C201" s="838"/>
      <c r="D201" s="838"/>
      <c r="E201" s="838"/>
      <c r="I201" s="839"/>
      <c r="J201" s="839"/>
      <c r="K201" s="840"/>
      <c r="L201" s="841"/>
    </row>
    <row r="202" spans="1:12" s="728" customFormat="1" ht="11.25">
      <c r="A202" s="838"/>
      <c r="B202" s="838"/>
      <c r="C202" s="838"/>
      <c r="D202" s="838"/>
      <c r="E202" s="838"/>
      <c r="I202" s="839"/>
      <c r="J202" s="839"/>
      <c r="K202" s="840"/>
      <c r="L202" s="841"/>
    </row>
    <row r="203" spans="1:12" s="728" customFormat="1" ht="11.25">
      <c r="A203" s="838"/>
      <c r="B203" s="838"/>
      <c r="C203" s="838"/>
      <c r="D203" s="838"/>
      <c r="E203" s="838"/>
      <c r="I203" s="839"/>
      <c r="J203" s="839"/>
      <c r="K203" s="840"/>
      <c r="L203" s="841"/>
    </row>
    <row r="204" spans="1:12" s="728" customFormat="1" ht="11.25">
      <c r="A204" s="838"/>
      <c r="B204" s="838"/>
      <c r="C204" s="838"/>
      <c r="D204" s="838"/>
      <c r="E204" s="838"/>
      <c r="I204" s="839"/>
      <c r="J204" s="839"/>
      <c r="K204" s="840"/>
      <c r="L204" s="841"/>
    </row>
    <row r="205" spans="1:12" s="728" customFormat="1" ht="11.25">
      <c r="A205" s="838"/>
      <c r="B205" s="838"/>
      <c r="C205" s="838"/>
      <c r="D205" s="838"/>
      <c r="E205" s="838"/>
      <c r="I205" s="839"/>
      <c r="J205" s="839"/>
      <c r="K205" s="840"/>
      <c r="L205" s="841"/>
    </row>
    <row r="206" spans="1:12" s="728" customFormat="1" ht="11.25">
      <c r="A206" s="838"/>
      <c r="B206" s="838"/>
      <c r="C206" s="838"/>
      <c r="D206" s="838"/>
      <c r="E206" s="838"/>
      <c r="I206" s="839"/>
      <c r="J206" s="839"/>
      <c r="K206" s="840"/>
      <c r="L206" s="841"/>
    </row>
    <row r="207" spans="1:12" s="728" customFormat="1" ht="11.25">
      <c r="A207" s="838"/>
      <c r="B207" s="838"/>
      <c r="C207" s="838"/>
      <c r="D207" s="838"/>
      <c r="E207" s="838"/>
      <c r="I207" s="839"/>
      <c r="J207" s="839"/>
      <c r="K207" s="840"/>
      <c r="L207" s="841"/>
    </row>
    <row r="208" spans="1:12" s="728" customFormat="1" ht="11.25">
      <c r="A208" s="838"/>
      <c r="B208" s="838"/>
      <c r="C208" s="838"/>
      <c r="D208" s="838"/>
      <c r="E208" s="838"/>
      <c r="I208" s="839"/>
      <c r="J208" s="839"/>
      <c r="K208" s="840"/>
      <c r="L208" s="841"/>
    </row>
    <row r="209" spans="1:12" s="728" customFormat="1" ht="11.25">
      <c r="A209" s="838"/>
      <c r="B209" s="838"/>
      <c r="C209" s="838"/>
      <c r="D209" s="838"/>
      <c r="E209" s="838"/>
      <c r="I209" s="839"/>
      <c r="J209" s="839"/>
      <c r="K209" s="840"/>
      <c r="L209" s="841"/>
    </row>
    <row r="210" spans="1:12" s="728" customFormat="1" ht="11.25">
      <c r="A210" s="838"/>
      <c r="B210" s="838"/>
      <c r="C210" s="838"/>
      <c r="D210" s="838"/>
      <c r="E210" s="838"/>
      <c r="I210" s="839"/>
      <c r="J210" s="839"/>
      <c r="K210" s="840"/>
      <c r="L210" s="841"/>
    </row>
    <row r="211" spans="1:12" s="728" customFormat="1" ht="11.25">
      <c r="A211" s="838"/>
      <c r="B211" s="838"/>
      <c r="C211" s="838"/>
      <c r="D211" s="838"/>
      <c r="E211" s="838"/>
      <c r="I211" s="839"/>
      <c r="J211" s="839"/>
      <c r="K211" s="840"/>
      <c r="L211" s="841"/>
    </row>
    <row r="212" spans="1:12" s="728" customFormat="1" ht="11.25">
      <c r="A212" s="838"/>
      <c r="B212" s="838"/>
      <c r="C212" s="838"/>
      <c r="D212" s="838"/>
      <c r="E212" s="838"/>
      <c r="I212" s="839"/>
      <c r="J212" s="839"/>
      <c r="K212" s="840"/>
      <c r="L212" s="841"/>
    </row>
    <row r="213" spans="1:12" s="728" customFormat="1" ht="11.25">
      <c r="A213" s="838"/>
      <c r="B213" s="838"/>
      <c r="C213" s="838"/>
      <c r="D213" s="838"/>
      <c r="E213" s="838"/>
      <c r="I213" s="839"/>
      <c r="J213" s="839"/>
      <c r="K213" s="840"/>
      <c r="L213" s="841"/>
    </row>
    <row r="214" spans="1:12" s="728" customFormat="1" ht="11.25">
      <c r="A214" s="838"/>
      <c r="B214" s="838"/>
      <c r="C214" s="838"/>
      <c r="D214" s="838"/>
      <c r="E214" s="838"/>
      <c r="I214" s="839"/>
      <c r="J214" s="839"/>
      <c r="K214" s="840"/>
      <c r="L214" s="841"/>
    </row>
    <row r="215" spans="1:12" s="728" customFormat="1" ht="11.25">
      <c r="A215" s="838"/>
      <c r="B215" s="838"/>
      <c r="C215" s="838"/>
      <c r="D215" s="838"/>
      <c r="E215" s="838"/>
      <c r="I215" s="839"/>
      <c r="J215" s="839"/>
      <c r="K215" s="840"/>
      <c r="L215" s="841"/>
    </row>
    <row r="216" spans="1:12" s="728" customFormat="1" ht="11.25">
      <c r="A216" s="838"/>
      <c r="B216" s="838"/>
      <c r="C216" s="838"/>
      <c r="D216" s="838"/>
      <c r="E216" s="838"/>
      <c r="I216" s="839"/>
      <c r="J216" s="839"/>
      <c r="K216" s="840"/>
      <c r="L216" s="841"/>
    </row>
    <row r="224" spans="1:12" s="728" customFormat="1">
      <c r="A224" s="843"/>
      <c r="B224" s="843"/>
      <c r="C224" s="843"/>
      <c r="D224" s="843"/>
      <c r="E224" s="843"/>
      <c r="F224" s="691"/>
      <c r="I224" s="839"/>
      <c r="J224" s="839"/>
      <c r="K224" s="840"/>
      <c r="L224" s="841"/>
    </row>
    <row r="225" spans="1:12" s="728" customFormat="1">
      <c r="A225" s="843"/>
      <c r="B225" s="843"/>
      <c r="C225" s="843"/>
      <c r="D225" s="843"/>
      <c r="E225" s="843"/>
      <c r="F225" s="691"/>
      <c r="I225" s="839"/>
      <c r="J225" s="839"/>
      <c r="K225" s="840"/>
      <c r="L225" s="841"/>
    </row>
    <row r="226" spans="1:12" s="728" customFormat="1">
      <c r="A226" s="843"/>
      <c r="B226" s="843"/>
      <c r="C226" s="843"/>
      <c r="D226" s="843"/>
      <c r="E226" s="843"/>
      <c r="F226" s="691"/>
      <c r="I226" s="839"/>
      <c r="J226" s="839"/>
      <c r="K226" s="840"/>
      <c r="L226" s="841"/>
    </row>
    <row r="227" spans="1:12" s="728" customFormat="1">
      <c r="A227" s="843"/>
      <c r="B227" s="843"/>
      <c r="C227" s="843"/>
      <c r="D227" s="843"/>
      <c r="E227" s="843"/>
      <c r="F227" s="691"/>
      <c r="I227" s="839"/>
      <c r="J227" s="839"/>
      <c r="K227" s="840"/>
      <c r="L227" s="841"/>
    </row>
    <row r="228" spans="1:12" s="728" customFormat="1">
      <c r="A228" s="843"/>
      <c r="B228" s="843"/>
      <c r="C228" s="843"/>
      <c r="D228" s="843"/>
      <c r="E228" s="843"/>
      <c r="F228" s="691"/>
      <c r="I228" s="839"/>
      <c r="J228" s="839"/>
      <c r="K228" s="840"/>
      <c r="L228" s="841"/>
    </row>
    <row r="229" spans="1:12" s="728" customFormat="1">
      <c r="A229" s="843"/>
      <c r="B229" s="843"/>
      <c r="C229" s="843"/>
      <c r="D229" s="843"/>
      <c r="E229" s="843"/>
      <c r="F229" s="691"/>
      <c r="I229" s="839"/>
      <c r="J229" s="839"/>
      <c r="K229" s="840"/>
      <c r="L229" s="841"/>
    </row>
    <row r="230" spans="1:12" s="728" customFormat="1">
      <c r="A230" s="843"/>
      <c r="B230" s="843"/>
      <c r="C230" s="843"/>
      <c r="D230" s="843"/>
      <c r="E230" s="843"/>
      <c r="F230" s="691"/>
      <c r="I230" s="839"/>
      <c r="J230" s="839"/>
      <c r="K230" s="840"/>
      <c r="L230" s="841"/>
    </row>
    <row r="231" spans="1:12" s="728" customFormat="1">
      <c r="A231" s="843"/>
      <c r="B231" s="843"/>
      <c r="C231" s="843"/>
      <c r="D231" s="843"/>
      <c r="E231" s="843"/>
      <c r="F231" s="691"/>
      <c r="I231" s="839"/>
      <c r="J231" s="839"/>
      <c r="K231" s="840"/>
      <c r="L231" s="841"/>
    </row>
    <row r="232" spans="1:12" s="728" customFormat="1">
      <c r="A232" s="843"/>
      <c r="B232" s="843"/>
      <c r="C232" s="843"/>
      <c r="D232" s="843"/>
      <c r="E232" s="843"/>
      <c r="F232" s="691"/>
      <c r="I232" s="839"/>
      <c r="J232" s="839"/>
      <c r="K232" s="840"/>
      <c r="L232" s="841"/>
    </row>
    <row r="233" spans="1:12" s="728" customFormat="1">
      <c r="A233" s="843"/>
      <c r="B233" s="843"/>
      <c r="C233" s="843"/>
      <c r="D233" s="843"/>
      <c r="E233" s="843"/>
      <c r="F233" s="691"/>
      <c r="I233" s="839"/>
      <c r="J233" s="839"/>
      <c r="K233" s="840"/>
      <c r="L233" s="841"/>
    </row>
    <row r="234" spans="1:12" s="728" customFormat="1">
      <c r="A234" s="843"/>
      <c r="B234" s="843"/>
      <c r="C234" s="843"/>
      <c r="D234" s="843"/>
      <c r="E234" s="843"/>
      <c r="F234" s="691"/>
      <c r="I234" s="839"/>
      <c r="J234" s="839"/>
      <c r="K234" s="840"/>
      <c r="L234" s="841"/>
    </row>
    <row r="235" spans="1:12" s="728" customFormat="1">
      <c r="A235" s="843"/>
      <c r="B235" s="843"/>
      <c r="C235" s="843"/>
      <c r="D235" s="843"/>
      <c r="E235" s="843"/>
      <c r="F235" s="691"/>
      <c r="I235" s="839"/>
      <c r="J235" s="839"/>
      <c r="K235" s="840"/>
      <c r="L235" s="841"/>
    </row>
    <row r="236" spans="1:12" s="728" customFormat="1">
      <c r="A236" s="843"/>
      <c r="B236" s="843"/>
      <c r="C236" s="843"/>
      <c r="D236" s="843"/>
      <c r="E236" s="843"/>
      <c r="F236" s="691"/>
      <c r="I236" s="839"/>
      <c r="J236" s="839"/>
      <c r="K236" s="840"/>
      <c r="L236" s="841"/>
    </row>
    <row r="237" spans="1:12" s="728" customFormat="1">
      <c r="A237" s="843"/>
      <c r="B237" s="843"/>
      <c r="C237" s="843"/>
      <c r="D237" s="843"/>
      <c r="E237" s="843"/>
      <c r="F237" s="691"/>
      <c r="I237" s="839"/>
      <c r="J237" s="839"/>
      <c r="K237" s="840"/>
      <c r="L237" s="841"/>
    </row>
    <row r="238" spans="1:12" s="728" customFormat="1">
      <c r="A238" s="843"/>
      <c r="B238" s="843"/>
      <c r="C238" s="843"/>
      <c r="D238" s="843"/>
      <c r="E238" s="843"/>
      <c r="F238" s="691"/>
      <c r="I238" s="839"/>
      <c r="J238" s="839"/>
      <c r="K238" s="840"/>
      <c r="L238" s="841"/>
    </row>
    <row r="239" spans="1:12" s="728" customFormat="1">
      <c r="A239" s="843"/>
      <c r="B239" s="843"/>
      <c r="C239" s="843"/>
      <c r="D239" s="843"/>
      <c r="E239" s="843"/>
      <c r="F239" s="691"/>
      <c r="I239" s="839"/>
      <c r="J239" s="839"/>
      <c r="K239" s="840"/>
      <c r="L239" s="841"/>
    </row>
    <row r="240" spans="1:12" s="728" customFormat="1">
      <c r="A240" s="843"/>
      <c r="B240" s="843"/>
      <c r="C240" s="843"/>
      <c r="D240" s="843"/>
      <c r="E240" s="843"/>
      <c r="F240" s="691"/>
      <c r="I240" s="839"/>
      <c r="J240" s="839"/>
      <c r="K240" s="840"/>
      <c r="L240" s="841"/>
    </row>
    <row r="241" spans="1:12" s="728" customFormat="1">
      <c r="A241" s="843"/>
      <c r="B241" s="843"/>
      <c r="C241" s="843"/>
      <c r="D241" s="843"/>
      <c r="E241" s="843"/>
      <c r="F241" s="691"/>
      <c r="I241" s="839"/>
      <c r="J241" s="839"/>
      <c r="K241" s="840"/>
      <c r="L241" s="841"/>
    </row>
    <row r="242" spans="1:12" s="728" customFormat="1">
      <c r="A242" s="843"/>
      <c r="B242" s="843"/>
      <c r="C242" s="843"/>
      <c r="D242" s="843"/>
      <c r="E242" s="843"/>
      <c r="F242" s="691"/>
      <c r="I242" s="839"/>
      <c r="J242" s="839"/>
      <c r="K242" s="840"/>
      <c r="L242" s="841"/>
    </row>
    <row r="243" spans="1:12" s="728" customFormat="1">
      <c r="A243" s="843"/>
      <c r="B243" s="843"/>
      <c r="C243" s="843"/>
      <c r="D243" s="843"/>
      <c r="E243" s="843"/>
      <c r="F243" s="691"/>
      <c r="I243" s="839"/>
      <c r="J243" s="839"/>
      <c r="K243" s="840"/>
      <c r="L243" s="841"/>
    </row>
    <row r="244" spans="1:12" s="728" customFormat="1">
      <c r="A244" s="843"/>
      <c r="B244" s="843"/>
      <c r="C244" s="843"/>
      <c r="D244" s="843"/>
      <c r="E244" s="843"/>
      <c r="F244" s="691"/>
      <c r="I244" s="839"/>
      <c r="J244" s="839"/>
      <c r="K244" s="840"/>
      <c r="L244" s="841"/>
    </row>
    <row r="245" spans="1:12" s="728" customFormat="1">
      <c r="A245" s="843"/>
      <c r="B245" s="843"/>
      <c r="C245" s="843"/>
      <c r="D245" s="843"/>
      <c r="E245" s="843"/>
      <c r="F245" s="691"/>
      <c r="I245" s="839"/>
      <c r="J245" s="839"/>
      <c r="K245" s="840"/>
      <c r="L245" s="841"/>
    </row>
    <row r="246" spans="1:12" s="728" customFormat="1">
      <c r="A246" s="843"/>
      <c r="B246" s="843"/>
      <c r="C246" s="843"/>
      <c r="D246" s="843"/>
      <c r="E246" s="843"/>
      <c r="F246" s="691"/>
      <c r="I246" s="839"/>
      <c r="J246" s="839"/>
      <c r="K246" s="840"/>
      <c r="L246" s="841"/>
    </row>
    <row r="247" spans="1:12" s="728" customFormat="1">
      <c r="A247" s="843"/>
      <c r="B247" s="843"/>
      <c r="C247" s="843"/>
      <c r="D247" s="843"/>
      <c r="E247" s="843"/>
      <c r="F247" s="691"/>
      <c r="I247" s="839"/>
      <c r="J247" s="839"/>
      <c r="K247" s="840"/>
      <c r="L247" s="841"/>
    </row>
    <row r="248" spans="1:12" s="728" customFormat="1">
      <c r="A248" s="843"/>
      <c r="B248" s="843"/>
      <c r="C248" s="843"/>
      <c r="D248" s="843"/>
      <c r="E248" s="843"/>
      <c r="F248" s="691"/>
      <c r="I248" s="839"/>
      <c r="J248" s="839"/>
      <c r="K248" s="840"/>
      <c r="L248" s="841"/>
    </row>
    <row r="249" spans="1:12" s="728" customFormat="1">
      <c r="A249" s="843"/>
      <c r="B249" s="843"/>
      <c r="C249" s="843"/>
      <c r="D249" s="843"/>
      <c r="E249" s="843"/>
      <c r="F249" s="691"/>
      <c r="I249" s="839"/>
      <c r="J249" s="839"/>
      <c r="K249" s="840"/>
      <c r="L249" s="841"/>
    </row>
    <row r="250" spans="1:12" s="728" customFormat="1">
      <c r="A250" s="843"/>
      <c r="B250" s="843"/>
      <c r="C250" s="843"/>
      <c r="D250" s="843"/>
      <c r="E250" s="843"/>
      <c r="F250" s="691"/>
      <c r="I250" s="839"/>
      <c r="J250" s="839"/>
      <c r="K250" s="840"/>
      <c r="L250" s="841"/>
    </row>
    <row r="251" spans="1:12" s="728" customFormat="1">
      <c r="A251" s="843"/>
      <c r="B251" s="843"/>
      <c r="C251" s="843"/>
      <c r="D251" s="843"/>
      <c r="E251" s="843"/>
      <c r="F251" s="691"/>
      <c r="I251" s="839"/>
      <c r="J251" s="839"/>
      <c r="K251" s="840"/>
      <c r="L251" s="841"/>
    </row>
    <row r="252" spans="1:12" s="728" customFormat="1">
      <c r="A252" s="843"/>
      <c r="B252" s="843"/>
      <c r="C252" s="843"/>
      <c r="D252" s="843"/>
      <c r="E252" s="843"/>
      <c r="F252" s="691"/>
      <c r="I252" s="839"/>
      <c r="J252" s="839"/>
      <c r="K252" s="840"/>
      <c r="L252" s="841"/>
    </row>
    <row r="253" spans="1:12" s="728" customFormat="1">
      <c r="A253" s="843"/>
      <c r="B253" s="843"/>
      <c r="C253" s="843"/>
      <c r="D253" s="843"/>
      <c r="E253" s="843"/>
      <c r="F253" s="691"/>
      <c r="I253" s="839"/>
      <c r="J253" s="839"/>
      <c r="K253" s="840"/>
      <c r="L253" s="841"/>
    </row>
    <row r="254" spans="1:12" s="728" customFormat="1">
      <c r="A254" s="843"/>
      <c r="B254" s="843"/>
      <c r="C254" s="843"/>
      <c r="D254" s="843"/>
      <c r="E254" s="843"/>
      <c r="F254" s="691"/>
      <c r="I254" s="839"/>
      <c r="J254" s="839"/>
      <c r="K254" s="840"/>
      <c r="L254" s="841"/>
    </row>
    <row r="255" spans="1:12" s="728" customFormat="1">
      <c r="A255" s="843"/>
      <c r="B255" s="843"/>
      <c r="C255" s="843"/>
      <c r="D255" s="843"/>
      <c r="E255" s="843"/>
      <c r="F255" s="691"/>
      <c r="I255" s="839"/>
      <c r="J255" s="839"/>
      <c r="K255" s="840"/>
      <c r="L255" s="841"/>
    </row>
    <row r="256" spans="1:12" s="728" customFormat="1">
      <c r="A256" s="843"/>
      <c r="B256" s="843"/>
      <c r="C256" s="843"/>
      <c r="D256" s="843"/>
      <c r="E256" s="843"/>
      <c r="F256" s="691"/>
      <c r="I256" s="839"/>
      <c r="J256" s="839"/>
      <c r="K256" s="840"/>
      <c r="L256" s="841"/>
    </row>
    <row r="257" spans="1:12" s="728" customFormat="1">
      <c r="A257" s="843"/>
      <c r="B257" s="843"/>
      <c r="C257" s="843"/>
      <c r="D257" s="843"/>
      <c r="E257" s="843"/>
      <c r="F257" s="691"/>
      <c r="I257" s="839"/>
      <c r="J257" s="839"/>
      <c r="K257" s="840"/>
      <c r="L257" s="841"/>
    </row>
    <row r="258" spans="1:12" s="728" customFormat="1">
      <c r="A258" s="843"/>
      <c r="B258" s="843"/>
      <c r="C258" s="843"/>
      <c r="D258" s="843"/>
      <c r="E258" s="843"/>
      <c r="F258" s="691"/>
      <c r="I258" s="839"/>
      <c r="J258" s="839"/>
      <c r="K258" s="840"/>
      <c r="L258" s="841"/>
    </row>
    <row r="259" spans="1:12" s="728" customFormat="1">
      <c r="A259" s="843"/>
      <c r="B259" s="843"/>
      <c r="C259" s="843"/>
      <c r="D259" s="843"/>
      <c r="E259" s="843"/>
      <c r="F259" s="691"/>
      <c r="I259" s="839"/>
      <c r="J259" s="839"/>
      <c r="K259" s="840"/>
      <c r="L259" s="841"/>
    </row>
    <row r="260" spans="1:12" s="728" customFormat="1">
      <c r="A260" s="843"/>
      <c r="B260" s="843"/>
      <c r="C260" s="843"/>
      <c r="D260" s="843"/>
      <c r="E260" s="843"/>
      <c r="F260" s="691"/>
      <c r="I260" s="839"/>
      <c r="J260" s="839"/>
      <c r="K260" s="840"/>
      <c r="L260" s="841"/>
    </row>
    <row r="261" spans="1:12" s="728" customFormat="1">
      <c r="A261" s="843"/>
      <c r="B261" s="843"/>
      <c r="C261" s="843"/>
      <c r="D261" s="843"/>
      <c r="E261" s="843"/>
      <c r="F261" s="691"/>
      <c r="I261" s="839"/>
      <c r="J261" s="839"/>
      <c r="K261" s="840"/>
      <c r="L261" s="841"/>
    </row>
    <row r="262" spans="1:12" s="728" customFormat="1">
      <c r="A262" s="843"/>
      <c r="B262" s="843"/>
      <c r="C262" s="843"/>
      <c r="D262" s="843"/>
      <c r="E262" s="843"/>
      <c r="F262" s="691"/>
      <c r="I262" s="839"/>
      <c r="J262" s="839"/>
      <c r="K262" s="840"/>
      <c r="L262" s="841"/>
    </row>
    <row r="263" spans="1:12" s="728" customFormat="1">
      <c r="A263" s="843"/>
      <c r="B263" s="843"/>
      <c r="C263" s="843"/>
      <c r="D263" s="843"/>
      <c r="E263" s="843"/>
      <c r="F263" s="691"/>
      <c r="I263" s="839"/>
      <c r="J263" s="839"/>
      <c r="K263" s="840"/>
      <c r="L263" s="841"/>
    </row>
    <row r="264" spans="1:12" s="728" customFormat="1">
      <c r="A264" s="843"/>
      <c r="B264" s="843"/>
      <c r="C264" s="843"/>
      <c r="D264" s="843"/>
      <c r="E264" s="843"/>
      <c r="F264" s="691"/>
      <c r="I264" s="839"/>
      <c r="J264" s="839"/>
      <c r="K264" s="840"/>
      <c r="L264" s="841"/>
    </row>
    <row r="265" spans="1:12" s="728" customFormat="1">
      <c r="A265" s="843"/>
      <c r="B265" s="843"/>
      <c r="C265" s="843"/>
      <c r="D265" s="843"/>
      <c r="E265" s="843"/>
      <c r="F265" s="691"/>
      <c r="I265" s="839"/>
      <c r="J265" s="839"/>
      <c r="K265" s="840"/>
      <c r="L265" s="841"/>
    </row>
    <row r="266" spans="1:12" s="728" customFormat="1">
      <c r="A266" s="843"/>
      <c r="B266" s="843"/>
      <c r="C266" s="843"/>
      <c r="D266" s="843"/>
      <c r="E266" s="843"/>
      <c r="F266" s="691"/>
      <c r="I266" s="839"/>
      <c r="J266" s="839"/>
      <c r="K266" s="840"/>
      <c r="L266" s="841"/>
    </row>
    <row r="267" spans="1:12" s="728" customFormat="1">
      <c r="A267" s="843"/>
      <c r="B267" s="843"/>
      <c r="C267" s="843"/>
      <c r="D267" s="843"/>
      <c r="E267" s="843"/>
      <c r="F267" s="691"/>
      <c r="I267" s="839"/>
      <c r="J267" s="839"/>
      <c r="K267" s="840"/>
      <c r="L267" s="841"/>
    </row>
    <row r="268" spans="1:12" s="728" customFormat="1">
      <c r="A268" s="843"/>
      <c r="B268" s="843"/>
      <c r="C268" s="843"/>
      <c r="D268" s="843"/>
      <c r="E268" s="843"/>
      <c r="F268" s="691"/>
      <c r="I268" s="839"/>
      <c r="J268" s="839"/>
      <c r="K268" s="840"/>
      <c r="L268" s="841"/>
    </row>
    <row r="269" spans="1:12" s="728" customFormat="1">
      <c r="A269" s="843"/>
      <c r="B269" s="843"/>
      <c r="C269" s="843"/>
      <c r="D269" s="843"/>
      <c r="E269" s="843"/>
      <c r="F269" s="691"/>
      <c r="I269" s="839"/>
      <c r="J269" s="839"/>
      <c r="K269" s="840"/>
      <c r="L269" s="841"/>
    </row>
    <row r="270" spans="1:12" s="728" customFormat="1">
      <c r="A270" s="843"/>
      <c r="B270" s="843"/>
      <c r="C270" s="843"/>
      <c r="D270" s="843"/>
      <c r="E270" s="843"/>
      <c r="F270" s="691"/>
      <c r="I270" s="839"/>
      <c r="J270" s="839"/>
      <c r="K270" s="840"/>
      <c r="L270" s="841"/>
    </row>
    <row r="271" spans="1:12" s="728" customFormat="1">
      <c r="A271" s="843"/>
      <c r="B271" s="843"/>
      <c r="C271" s="843"/>
      <c r="D271" s="843"/>
      <c r="E271" s="843"/>
      <c r="F271" s="691"/>
      <c r="I271" s="839"/>
      <c r="J271" s="839"/>
      <c r="K271" s="840"/>
      <c r="L271" s="841"/>
    </row>
    <row r="272" spans="1:12" s="728" customFormat="1">
      <c r="A272" s="843"/>
      <c r="B272" s="843"/>
      <c r="C272" s="843"/>
      <c r="D272" s="843"/>
      <c r="E272" s="843"/>
      <c r="F272" s="691"/>
      <c r="I272" s="839"/>
      <c r="J272" s="839"/>
      <c r="K272" s="840"/>
      <c r="L272" s="841"/>
    </row>
    <row r="273" spans="1:12" s="728" customFormat="1">
      <c r="A273" s="843"/>
      <c r="B273" s="843"/>
      <c r="C273" s="843"/>
      <c r="D273" s="843"/>
      <c r="E273" s="843"/>
      <c r="F273" s="691"/>
      <c r="I273" s="839"/>
      <c r="J273" s="839"/>
      <c r="K273" s="840"/>
      <c r="L273" s="841"/>
    </row>
    <row r="274" spans="1:12" s="728" customFormat="1">
      <c r="A274" s="843"/>
      <c r="B274" s="843"/>
      <c r="C274" s="843"/>
      <c r="D274" s="843"/>
      <c r="E274" s="843"/>
      <c r="F274" s="691"/>
      <c r="I274" s="839"/>
      <c r="J274" s="839"/>
      <c r="K274" s="840"/>
      <c r="L274" s="841"/>
    </row>
    <row r="275" spans="1:12" s="728" customFormat="1">
      <c r="A275" s="843"/>
      <c r="B275" s="843"/>
      <c r="C275" s="843"/>
      <c r="D275" s="843"/>
      <c r="E275" s="843"/>
      <c r="F275" s="691"/>
      <c r="I275" s="839"/>
      <c r="J275" s="839"/>
      <c r="K275" s="840"/>
      <c r="L275" s="841"/>
    </row>
    <row r="276" spans="1:12" s="728" customFormat="1">
      <c r="A276" s="843"/>
      <c r="B276" s="843"/>
      <c r="C276" s="843"/>
      <c r="D276" s="843"/>
      <c r="E276" s="843"/>
      <c r="F276" s="691"/>
      <c r="I276" s="839"/>
      <c r="J276" s="839"/>
      <c r="K276" s="840"/>
      <c r="L276" s="841"/>
    </row>
    <row r="277" spans="1:12" s="728" customFormat="1">
      <c r="A277" s="843"/>
      <c r="B277" s="843"/>
      <c r="C277" s="843"/>
      <c r="D277" s="843"/>
      <c r="E277" s="843"/>
      <c r="F277" s="691"/>
      <c r="I277" s="839"/>
      <c r="J277" s="839"/>
      <c r="K277" s="840"/>
      <c r="L277" s="841"/>
    </row>
    <row r="278" spans="1:12" s="728" customFormat="1">
      <c r="A278" s="843"/>
      <c r="B278" s="843"/>
      <c r="C278" s="843"/>
      <c r="D278" s="843"/>
      <c r="E278" s="843"/>
      <c r="F278" s="691"/>
      <c r="I278" s="839"/>
      <c r="J278" s="839"/>
      <c r="K278" s="840"/>
      <c r="L278" s="841"/>
    </row>
    <row r="279" spans="1:12" s="728" customFormat="1">
      <c r="A279" s="843"/>
      <c r="B279" s="843"/>
      <c r="C279" s="843"/>
      <c r="D279" s="843"/>
      <c r="E279" s="843"/>
      <c r="F279" s="691"/>
      <c r="I279" s="839"/>
      <c r="J279" s="839"/>
      <c r="K279" s="840"/>
      <c r="L279" s="841"/>
    </row>
    <row r="280" spans="1:12" s="728" customFormat="1">
      <c r="A280" s="843"/>
      <c r="B280" s="843"/>
      <c r="C280" s="843"/>
      <c r="D280" s="843"/>
      <c r="E280" s="843"/>
      <c r="F280" s="691"/>
      <c r="I280" s="839"/>
      <c r="J280" s="839"/>
      <c r="K280" s="840"/>
      <c r="L280" s="841"/>
    </row>
  </sheetData>
  <mergeCells count="32">
    <mergeCell ref="A92:H92"/>
    <mergeCell ref="A1:J1"/>
    <mergeCell ref="K1:L1"/>
    <mergeCell ref="A3:H4"/>
    <mergeCell ref="I3:I4"/>
    <mergeCell ref="J3:J4"/>
    <mergeCell ref="K3:L3"/>
    <mergeCell ref="C28:F28"/>
    <mergeCell ref="A37:H37"/>
    <mergeCell ref="C46:F46"/>
    <mergeCell ref="A86:H86"/>
    <mergeCell ref="A90:H90"/>
    <mergeCell ref="D144:F144"/>
    <mergeCell ref="A98:H98"/>
    <mergeCell ref="A101:J101"/>
    <mergeCell ref="K101:L101"/>
    <mergeCell ref="A103:H104"/>
    <mergeCell ref="I103:I104"/>
    <mergeCell ref="J103:J104"/>
    <mergeCell ref="K103:L103"/>
    <mergeCell ref="A123:H123"/>
    <mergeCell ref="A130:H130"/>
    <mergeCell ref="A134:H134"/>
    <mergeCell ref="D142:F142"/>
    <mergeCell ref="D143:F143"/>
    <mergeCell ref="A167:H167"/>
    <mergeCell ref="D145:F145"/>
    <mergeCell ref="D146:F146"/>
    <mergeCell ref="D147:F147"/>
    <mergeCell ref="A155:H155"/>
    <mergeCell ref="A159:H159"/>
    <mergeCell ref="A161:H161"/>
  </mergeCells>
  <printOptions horizontalCentered="1"/>
  <pageMargins left="0.59055118110236227" right="0.59055118110236227" top="0.59055118110236227" bottom="0.59055118110236227" header="0" footer="0"/>
  <pageSetup paperSize="9" scale="7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47"/>
  <sheetViews>
    <sheetView showGridLines="0" topLeftCell="A226" zoomScaleNormal="100" zoomScaleSheetLayoutView="55" workbookViewId="0">
      <selection activeCell="E236" sqref="E236"/>
    </sheetView>
  </sheetViews>
  <sheetFormatPr defaultColWidth="9.140625" defaultRowHeight="19.5"/>
  <cols>
    <col min="1" max="1" width="7.5703125" style="67" customWidth="1"/>
    <col min="2" max="2" width="12" style="67" customWidth="1"/>
    <col min="3" max="3" width="79.5703125" style="66" customWidth="1"/>
    <col min="4" max="4" width="30.85546875" style="553" bestFit="1" customWidth="1"/>
    <col min="5" max="5" width="24.28515625" style="66" bestFit="1" customWidth="1"/>
    <col min="6" max="6" width="3.28515625" style="558" customWidth="1"/>
    <col min="7" max="7" width="3.28515625" style="684" customWidth="1"/>
    <col min="8" max="9" width="3.28515625" style="66" customWidth="1"/>
    <col min="10" max="10" width="4.42578125" style="66" customWidth="1"/>
    <col min="11" max="11" width="6.28515625" style="66" customWidth="1"/>
    <col min="12" max="17" width="3" style="66" customWidth="1"/>
    <col min="18" max="21" width="3.28515625" style="66" customWidth="1"/>
    <col min="22" max="22" width="1.28515625" style="66" customWidth="1"/>
    <col min="23" max="23" width="5.28515625" style="66" customWidth="1"/>
    <col min="24" max="28" width="3.28515625" style="66" customWidth="1"/>
    <col min="29" max="29" width="9.140625" style="66" customWidth="1"/>
    <col min="30" max="198" width="9.140625" style="66"/>
    <col min="199" max="206" width="9.140625" style="66" customWidth="1"/>
    <col min="207" max="207" width="10.140625" style="66" customWidth="1"/>
    <col min="208" max="208" width="1" style="66" customWidth="1"/>
    <col min="209" max="211" width="3.28515625" style="66" customWidth="1"/>
    <col min="212" max="212" width="1.85546875" style="66" customWidth="1"/>
    <col min="213" max="213" width="17.85546875" style="66" customWidth="1"/>
    <col min="214" max="214" width="1.85546875" style="66" customWidth="1"/>
    <col min="215" max="217" width="3.28515625" style="66" customWidth="1"/>
    <col min="218" max="218" width="2.85546875" style="66" customWidth="1"/>
    <col min="219" max="219" width="1.85546875" style="66" customWidth="1"/>
    <col min="220" max="220" width="19.7109375" style="66" customWidth="1"/>
    <col min="221" max="221" width="1.85546875" style="66" customWidth="1"/>
    <col min="222" max="224" width="3" style="66" customWidth="1"/>
    <col min="225" max="225" width="4.42578125" style="66" customWidth="1"/>
    <col min="226" max="227" width="3" style="66" customWidth="1"/>
    <col min="228" max="233" width="3.28515625" style="66" customWidth="1"/>
    <col min="234" max="235" width="9.140625" style="66" customWidth="1"/>
    <col min="236" max="239" width="3.28515625" style="66" customWidth="1"/>
    <col min="240" max="240" width="4.140625" style="66" customWidth="1"/>
    <col min="241" max="241" width="1.7109375" style="66" customWidth="1"/>
    <col min="242" max="246" width="3.28515625" style="66" customWidth="1"/>
    <col min="247" max="247" width="1.7109375" style="66" customWidth="1"/>
    <col min="248" max="252" width="3.28515625" style="66" customWidth="1"/>
    <col min="253" max="258" width="9.140625" style="66" customWidth="1"/>
    <col min="259" max="259" width="1.7109375" style="66" customWidth="1"/>
    <col min="260" max="264" width="3.28515625" style="66" customWidth="1"/>
    <col min="265" max="265" width="1.7109375" style="66" customWidth="1"/>
    <col min="266" max="266" width="16.5703125" style="66" bestFit="1" customWidth="1"/>
    <col min="267" max="268" width="10.28515625" style="66" customWidth="1"/>
    <col min="269" max="269" width="18" style="66" bestFit="1" customWidth="1"/>
    <col min="270" max="454" width="9.140625" style="66"/>
    <col min="455" max="462" width="9.140625" style="66" customWidth="1"/>
    <col min="463" max="463" width="10.140625" style="66" customWidth="1"/>
    <col min="464" max="464" width="1" style="66" customWidth="1"/>
    <col min="465" max="467" width="3.28515625" style="66" customWidth="1"/>
    <col min="468" max="468" width="1.85546875" style="66" customWidth="1"/>
    <col min="469" max="469" width="17.85546875" style="66" customWidth="1"/>
    <col min="470" max="470" width="1.85546875" style="66" customWidth="1"/>
    <col min="471" max="473" width="3.28515625" style="66" customWidth="1"/>
    <col min="474" max="474" width="2.85546875" style="66" customWidth="1"/>
    <col min="475" max="475" width="1.85546875" style="66" customWidth="1"/>
    <col min="476" max="476" width="19.7109375" style="66" customWidth="1"/>
    <col min="477" max="477" width="1.85546875" style="66" customWidth="1"/>
    <col min="478" max="480" width="3" style="66" customWidth="1"/>
    <col min="481" max="481" width="4.42578125" style="66" customWidth="1"/>
    <col min="482" max="483" width="3" style="66" customWidth="1"/>
    <col min="484" max="489" width="3.28515625" style="66" customWidth="1"/>
    <col min="490" max="491" width="9.140625" style="66" customWidth="1"/>
    <col min="492" max="495" width="3.28515625" style="66" customWidth="1"/>
    <col min="496" max="496" width="4.140625" style="66" customWidth="1"/>
    <col min="497" max="497" width="1.7109375" style="66" customWidth="1"/>
    <col min="498" max="502" width="3.28515625" style="66" customWidth="1"/>
    <col min="503" max="503" width="1.7109375" style="66" customWidth="1"/>
    <col min="504" max="508" width="3.28515625" style="66" customWidth="1"/>
    <col min="509" max="514" width="9.140625" style="66" customWidth="1"/>
    <col min="515" max="515" width="1.7109375" style="66" customWidth="1"/>
    <col min="516" max="520" width="3.28515625" style="66" customWidth="1"/>
    <col min="521" max="521" width="1.7109375" style="66" customWidth="1"/>
    <col min="522" max="522" width="16.5703125" style="66" bestFit="1" customWidth="1"/>
    <col min="523" max="524" width="10.28515625" style="66" customWidth="1"/>
    <col min="525" max="525" width="18" style="66" bestFit="1" customWidth="1"/>
    <col min="526" max="710" width="9.140625" style="66"/>
    <col min="711" max="718" width="9.140625" style="66" customWidth="1"/>
    <col min="719" max="719" width="10.140625" style="66" customWidth="1"/>
    <col min="720" max="720" width="1" style="66" customWidth="1"/>
    <col min="721" max="723" width="3.28515625" style="66" customWidth="1"/>
    <col min="724" max="724" width="1.85546875" style="66" customWidth="1"/>
    <col min="725" max="725" width="17.85546875" style="66" customWidth="1"/>
    <col min="726" max="726" width="1.85546875" style="66" customWidth="1"/>
    <col min="727" max="729" width="3.28515625" style="66" customWidth="1"/>
    <col min="730" max="730" width="2.85546875" style="66" customWidth="1"/>
    <col min="731" max="731" width="1.85546875" style="66" customWidth="1"/>
    <col min="732" max="732" width="19.7109375" style="66" customWidth="1"/>
    <col min="733" max="733" width="1.85546875" style="66" customWidth="1"/>
    <col min="734" max="736" width="3" style="66" customWidth="1"/>
    <col min="737" max="737" width="4.42578125" style="66" customWidth="1"/>
    <col min="738" max="739" width="3" style="66" customWidth="1"/>
    <col min="740" max="745" width="3.28515625" style="66" customWidth="1"/>
    <col min="746" max="747" width="9.140625" style="66" customWidth="1"/>
    <col min="748" max="751" width="3.28515625" style="66" customWidth="1"/>
    <col min="752" max="752" width="4.140625" style="66" customWidth="1"/>
    <col min="753" max="753" width="1.7109375" style="66" customWidth="1"/>
    <col min="754" max="758" width="3.28515625" style="66" customWidth="1"/>
    <col min="759" max="759" width="1.7109375" style="66" customWidth="1"/>
    <col min="760" max="764" width="3.28515625" style="66" customWidth="1"/>
    <col min="765" max="770" width="9.140625" style="66" customWidth="1"/>
    <col min="771" max="771" width="1.7109375" style="66" customWidth="1"/>
    <col min="772" max="776" width="3.28515625" style="66" customWidth="1"/>
    <col min="777" max="777" width="1.7109375" style="66" customWidth="1"/>
    <col min="778" max="778" width="16.5703125" style="66" bestFit="1" customWidth="1"/>
    <col min="779" max="780" width="10.28515625" style="66" customWidth="1"/>
    <col min="781" max="781" width="18" style="66" bestFit="1" customWidth="1"/>
    <col min="782" max="966" width="9.140625" style="66"/>
    <col min="967" max="974" width="9.140625" style="66" customWidth="1"/>
    <col min="975" max="975" width="10.140625" style="66" customWidth="1"/>
    <col min="976" max="976" width="1" style="66" customWidth="1"/>
    <col min="977" max="979" width="3.28515625" style="66" customWidth="1"/>
    <col min="980" max="980" width="1.85546875" style="66" customWidth="1"/>
    <col min="981" max="981" width="17.85546875" style="66" customWidth="1"/>
    <col min="982" max="982" width="1.85546875" style="66" customWidth="1"/>
    <col min="983" max="985" width="3.28515625" style="66" customWidth="1"/>
    <col min="986" max="986" width="2.85546875" style="66" customWidth="1"/>
    <col min="987" max="987" width="1.85546875" style="66" customWidth="1"/>
    <col min="988" max="988" width="19.7109375" style="66" customWidth="1"/>
    <col min="989" max="989" width="1.85546875" style="66" customWidth="1"/>
    <col min="990" max="992" width="3" style="66" customWidth="1"/>
    <col min="993" max="993" width="4.42578125" style="66" customWidth="1"/>
    <col min="994" max="995" width="3" style="66" customWidth="1"/>
    <col min="996" max="1001" width="3.28515625" style="66" customWidth="1"/>
    <col min="1002" max="1003" width="9.140625" style="66" customWidth="1"/>
    <col min="1004" max="1007" width="3.28515625" style="66" customWidth="1"/>
    <col min="1008" max="1008" width="4.140625" style="66" customWidth="1"/>
    <col min="1009" max="1009" width="1.7109375" style="66" customWidth="1"/>
    <col min="1010" max="1014" width="3.28515625" style="66" customWidth="1"/>
    <col min="1015" max="1015" width="1.7109375" style="66" customWidth="1"/>
    <col min="1016" max="1020" width="3.28515625" style="66" customWidth="1"/>
    <col min="1021" max="1026" width="9.140625" style="66" customWidth="1"/>
    <col min="1027" max="1027" width="1.7109375" style="66" customWidth="1"/>
    <col min="1028" max="1032" width="3.28515625" style="66" customWidth="1"/>
    <col min="1033" max="1033" width="1.7109375" style="66" customWidth="1"/>
    <col min="1034" max="1034" width="16.5703125" style="66" bestFit="1" customWidth="1"/>
    <col min="1035" max="1036" width="10.28515625" style="66" customWidth="1"/>
    <col min="1037" max="1037" width="18" style="66" bestFit="1" customWidth="1"/>
    <col min="1038" max="1222" width="9.140625" style="66"/>
    <col min="1223" max="1230" width="9.140625" style="66" customWidth="1"/>
    <col min="1231" max="1231" width="10.140625" style="66" customWidth="1"/>
    <col min="1232" max="1232" width="1" style="66" customWidth="1"/>
    <col min="1233" max="1235" width="3.28515625" style="66" customWidth="1"/>
    <col min="1236" max="1236" width="1.85546875" style="66" customWidth="1"/>
    <col min="1237" max="1237" width="17.85546875" style="66" customWidth="1"/>
    <col min="1238" max="1238" width="1.85546875" style="66" customWidth="1"/>
    <col min="1239" max="1241" width="3.28515625" style="66" customWidth="1"/>
    <col min="1242" max="1242" width="2.85546875" style="66" customWidth="1"/>
    <col min="1243" max="1243" width="1.85546875" style="66" customWidth="1"/>
    <col min="1244" max="1244" width="19.7109375" style="66" customWidth="1"/>
    <col min="1245" max="1245" width="1.85546875" style="66" customWidth="1"/>
    <col min="1246" max="1248" width="3" style="66" customWidth="1"/>
    <col min="1249" max="1249" width="4.42578125" style="66" customWidth="1"/>
    <col min="1250" max="1251" width="3" style="66" customWidth="1"/>
    <col min="1252" max="1257" width="3.28515625" style="66" customWidth="1"/>
    <col min="1258" max="1259" width="9.140625" style="66" customWidth="1"/>
    <col min="1260" max="1263" width="3.28515625" style="66" customWidth="1"/>
    <col min="1264" max="1264" width="4.140625" style="66" customWidth="1"/>
    <col min="1265" max="1265" width="1.7109375" style="66" customWidth="1"/>
    <col min="1266" max="1270" width="3.28515625" style="66" customWidth="1"/>
    <col min="1271" max="1271" width="1.7109375" style="66" customWidth="1"/>
    <col min="1272" max="1276" width="3.28515625" style="66" customWidth="1"/>
    <col min="1277" max="1282" width="9.140625" style="66" customWidth="1"/>
    <col min="1283" max="1283" width="1.7109375" style="66" customWidth="1"/>
    <col min="1284" max="1288" width="3.28515625" style="66" customWidth="1"/>
    <col min="1289" max="1289" width="1.7109375" style="66" customWidth="1"/>
    <col min="1290" max="1290" width="16.5703125" style="66" bestFit="1" customWidth="1"/>
    <col min="1291" max="1292" width="10.28515625" style="66" customWidth="1"/>
    <col min="1293" max="1293" width="18" style="66" bestFit="1" customWidth="1"/>
    <col min="1294" max="1478" width="9.140625" style="66"/>
    <col min="1479" max="1486" width="9.140625" style="66" customWidth="1"/>
    <col min="1487" max="1487" width="10.140625" style="66" customWidth="1"/>
    <col min="1488" max="1488" width="1" style="66" customWidth="1"/>
    <col min="1489" max="1491" width="3.28515625" style="66" customWidth="1"/>
    <col min="1492" max="1492" width="1.85546875" style="66" customWidth="1"/>
    <col min="1493" max="1493" width="17.85546875" style="66" customWidth="1"/>
    <col min="1494" max="1494" width="1.85546875" style="66" customWidth="1"/>
    <col min="1495" max="1497" width="3.28515625" style="66" customWidth="1"/>
    <col min="1498" max="1498" width="2.85546875" style="66" customWidth="1"/>
    <col min="1499" max="1499" width="1.85546875" style="66" customWidth="1"/>
    <col min="1500" max="1500" width="19.7109375" style="66" customWidth="1"/>
    <col min="1501" max="1501" width="1.85546875" style="66" customWidth="1"/>
    <col min="1502" max="1504" width="3" style="66" customWidth="1"/>
    <col min="1505" max="1505" width="4.42578125" style="66" customWidth="1"/>
    <col min="1506" max="1507" width="3" style="66" customWidth="1"/>
    <col min="1508" max="1513" width="3.28515625" style="66" customWidth="1"/>
    <col min="1514" max="1515" width="9.140625" style="66" customWidth="1"/>
    <col min="1516" max="1519" width="3.28515625" style="66" customWidth="1"/>
    <col min="1520" max="1520" width="4.140625" style="66" customWidth="1"/>
    <col min="1521" max="1521" width="1.7109375" style="66" customWidth="1"/>
    <col min="1522" max="1526" width="3.28515625" style="66" customWidth="1"/>
    <col min="1527" max="1527" width="1.7109375" style="66" customWidth="1"/>
    <col min="1528" max="1532" width="3.28515625" style="66" customWidth="1"/>
    <col min="1533" max="1538" width="9.140625" style="66" customWidth="1"/>
    <col min="1539" max="1539" width="1.7109375" style="66" customWidth="1"/>
    <col min="1540" max="1544" width="3.28515625" style="66" customWidth="1"/>
    <col min="1545" max="1545" width="1.7109375" style="66" customWidth="1"/>
    <col min="1546" max="1546" width="16.5703125" style="66" bestFit="1" customWidth="1"/>
    <col min="1547" max="1548" width="10.28515625" style="66" customWidth="1"/>
    <col min="1549" max="1549" width="18" style="66" bestFit="1" customWidth="1"/>
    <col min="1550" max="1734" width="9.140625" style="66"/>
    <col min="1735" max="1742" width="9.140625" style="66" customWidth="1"/>
    <col min="1743" max="1743" width="10.140625" style="66" customWidth="1"/>
    <col min="1744" max="1744" width="1" style="66" customWidth="1"/>
    <col min="1745" max="1747" width="3.28515625" style="66" customWidth="1"/>
    <col min="1748" max="1748" width="1.85546875" style="66" customWidth="1"/>
    <col min="1749" max="1749" width="17.85546875" style="66" customWidth="1"/>
    <col min="1750" max="1750" width="1.85546875" style="66" customWidth="1"/>
    <col min="1751" max="1753" width="3.28515625" style="66" customWidth="1"/>
    <col min="1754" max="1754" width="2.85546875" style="66" customWidth="1"/>
    <col min="1755" max="1755" width="1.85546875" style="66" customWidth="1"/>
    <col min="1756" max="1756" width="19.7109375" style="66" customWidth="1"/>
    <col min="1757" max="1757" width="1.85546875" style="66" customWidth="1"/>
    <col min="1758" max="1760" width="3" style="66" customWidth="1"/>
    <col min="1761" max="1761" width="4.42578125" style="66" customWidth="1"/>
    <col min="1762" max="1763" width="3" style="66" customWidth="1"/>
    <col min="1764" max="1769" width="3.28515625" style="66" customWidth="1"/>
    <col min="1770" max="1771" width="9.140625" style="66" customWidth="1"/>
    <col min="1772" max="1775" width="3.28515625" style="66" customWidth="1"/>
    <col min="1776" max="1776" width="4.140625" style="66" customWidth="1"/>
    <col min="1777" max="1777" width="1.7109375" style="66" customWidth="1"/>
    <col min="1778" max="1782" width="3.28515625" style="66" customWidth="1"/>
    <col min="1783" max="1783" width="1.7109375" style="66" customWidth="1"/>
    <col min="1784" max="1788" width="3.28515625" style="66" customWidth="1"/>
    <col min="1789" max="1794" width="9.140625" style="66" customWidth="1"/>
    <col min="1795" max="1795" width="1.7109375" style="66" customWidth="1"/>
    <col min="1796" max="1800" width="3.28515625" style="66" customWidth="1"/>
    <col min="1801" max="1801" width="1.7109375" style="66" customWidth="1"/>
    <col min="1802" max="1802" width="16.5703125" style="66" bestFit="1" customWidth="1"/>
    <col min="1803" max="1804" width="10.28515625" style="66" customWidth="1"/>
    <col min="1805" max="1805" width="18" style="66" bestFit="1" customWidth="1"/>
    <col min="1806" max="1990" width="9.140625" style="66"/>
    <col min="1991" max="1998" width="9.140625" style="66" customWidth="1"/>
    <col min="1999" max="1999" width="10.140625" style="66" customWidth="1"/>
    <col min="2000" max="2000" width="1" style="66" customWidth="1"/>
    <col min="2001" max="2003" width="3.28515625" style="66" customWidth="1"/>
    <col min="2004" max="2004" width="1.85546875" style="66" customWidth="1"/>
    <col min="2005" max="2005" width="17.85546875" style="66" customWidth="1"/>
    <col min="2006" max="2006" width="1.85546875" style="66" customWidth="1"/>
    <col min="2007" max="2009" width="3.28515625" style="66" customWidth="1"/>
    <col min="2010" max="2010" width="2.85546875" style="66" customWidth="1"/>
    <col min="2011" max="2011" width="1.85546875" style="66" customWidth="1"/>
    <col min="2012" max="2012" width="19.7109375" style="66" customWidth="1"/>
    <col min="2013" max="2013" width="1.85546875" style="66" customWidth="1"/>
    <col min="2014" max="2016" width="3" style="66" customWidth="1"/>
    <col min="2017" max="2017" width="4.42578125" style="66" customWidth="1"/>
    <col min="2018" max="2019" width="3" style="66" customWidth="1"/>
    <col min="2020" max="2025" width="3.28515625" style="66" customWidth="1"/>
    <col min="2026" max="2027" width="9.140625" style="66" customWidth="1"/>
    <col min="2028" max="2031" width="3.28515625" style="66" customWidth="1"/>
    <col min="2032" max="2032" width="4.140625" style="66" customWidth="1"/>
    <col min="2033" max="2033" width="1.7109375" style="66" customWidth="1"/>
    <col min="2034" max="2038" width="3.28515625" style="66" customWidth="1"/>
    <col min="2039" max="2039" width="1.7109375" style="66" customWidth="1"/>
    <col min="2040" max="2044" width="3.28515625" style="66" customWidth="1"/>
    <col min="2045" max="2050" width="9.140625" style="66" customWidth="1"/>
    <col min="2051" max="2051" width="1.7109375" style="66" customWidth="1"/>
    <col min="2052" max="2056" width="3.28515625" style="66" customWidth="1"/>
    <col min="2057" max="2057" width="1.7109375" style="66" customWidth="1"/>
    <col min="2058" max="2058" width="16.5703125" style="66" bestFit="1" customWidth="1"/>
    <col min="2059" max="2060" width="10.28515625" style="66" customWidth="1"/>
    <col min="2061" max="2061" width="18" style="66" bestFit="1" customWidth="1"/>
    <col min="2062" max="2246" width="9.140625" style="66"/>
    <col min="2247" max="2254" width="9.140625" style="66" customWidth="1"/>
    <col min="2255" max="2255" width="10.140625" style="66" customWidth="1"/>
    <col min="2256" max="2256" width="1" style="66" customWidth="1"/>
    <col min="2257" max="2259" width="3.28515625" style="66" customWidth="1"/>
    <col min="2260" max="2260" width="1.85546875" style="66" customWidth="1"/>
    <col min="2261" max="2261" width="17.85546875" style="66" customWidth="1"/>
    <col min="2262" max="2262" width="1.85546875" style="66" customWidth="1"/>
    <col min="2263" max="2265" width="3.28515625" style="66" customWidth="1"/>
    <col min="2266" max="2266" width="2.85546875" style="66" customWidth="1"/>
    <col min="2267" max="2267" width="1.85546875" style="66" customWidth="1"/>
    <col min="2268" max="2268" width="19.7109375" style="66" customWidth="1"/>
    <col min="2269" max="2269" width="1.85546875" style="66" customWidth="1"/>
    <col min="2270" max="2272" width="3" style="66" customWidth="1"/>
    <col min="2273" max="2273" width="4.42578125" style="66" customWidth="1"/>
    <col min="2274" max="2275" width="3" style="66" customWidth="1"/>
    <col min="2276" max="2281" width="3.28515625" style="66" customWidth="1"/>
    <col min="2282" max="2283" width="9.140625" style="66" customWidth="1"/>
    <col min="2284" max="2287" width="3.28515625" style="66" customWidth="1"/>
    <col min="2288" max="2288" width="4.140625" style="66" customWidth="1"/>
    <col min="2289" max="2289" width="1.7109375" style="66" customWidth="1"/>
    <col min="2290" max="2294" width="3.28515625" style="66" customWidth="1"/>
    <col min="2295" max="2295" width="1.7109375" style="66" customWidth="1"/>
    <col min="2296" max="2300" width="3.28515625" style="66" customWidth="1"/>
    <col min="2301" max="2306" width="9.140625" style="66" customWidth="1"/>
    <col min="2307" max="2307" width="1.7109375" style="66" customWidth="1"/>
    <col min="2308" max="2312" width="3.28515625" style="66" customWidth="1"/>
    <col min="2313" max="2313" width="1.7109375" style="66" customWidth="1"/>
    <col min="2314" max="2314" width="16.5703125" style="66" bestFit="1" customWidth="1"/>
    <col min="2315" max="2316" width="10.28515625" style="66" customWidth="1"/>
    <col min="2317" max="2317" width="18" style="66" bestFit="1" customWidth="1"/>
    <col min="2318" max="2502" width="9.140625" style="66"/>
    <col min="2503" max="2510" width="9.140625" style="66" customWidth="1"/>
    <col min="2511" max="2511" width="10.140625" style="66" customWidth="1"/>
    <col min="2512" max="2512" width="1" style="66" customWidth="1"/>
    <col min="2513" max="2515" width="3.28515625" style="66" customWidth="1"/>
    <col min="2516" max="2516" width="1.85546875" style="66" customWidth="1"/>
    <col min="2517" max="2517" width="17.85546875" style="66" customWidth="1"/>
    <col min="2518" max="2518" width="1.85546875" style="66" customWidth="1"/>
    <col min="2519" max="2521" width="3.28515625" style="66" customWidth="1"/>
    <col min="2522" max="2522" width="2.85546875" style="66" customWidth="1"/>
    <col min="2523" max="2523" width="1.85546875" style="66" customWidth="1"/>
    <col min="2524" max="2524" width="19.7109375" style="66" customWidth="1"/>
    <col min="2525" max="2525" width="1.85546875" style="66" customWidth="1"/>
    <col min="2526" max="2528" width="3" style="66" customWidth="1"/>
    <col min="2529" max="2529" width="4.42578125" style="66" customWidth="1"/>
    <col min="2530" max="2531" width="3" style="66" customWidth="1"/>
    <col min="2532" max="2537" width="3.28515625" style="66" customWidth="1"/>
    <col min="2538" max="2539" width="9.140625" style="66" customWidth="1"/>
    <col min="2540" max="2543" width="3.28515625" style="66" customWidth="1"/>
    <col min="2544" max="2544" width="4.140625" style="66" customWidth="1"/>
    <col min="2545" max="2545" width="1.7109375" style="66" customWidth="1"/>
    <col min="2546" max="2550" width="3.28515625" style="66" customWidth="1"/>
    <col min="2551" max="2551" width="1.7109375" style="66" customWidth="1"/>
    <col min="2552" max="2556" width="3.28515625" style="66" customWidth="1"/>
    <col min="2557" max="2562" width="9.140625" style="66" customWidth="1"/>
    <col min="2563" max="2563" width="1.7109375" style="66" customWidth="1"/>
    <col min="2564" max="2568" width="3.28515625" style="66" customWidth="1"/>
    <col min="2569" max="2569" width="1.7109375" style="66" customWidth="1"/>
    <col min="2570" max="2570" width="16.5703125" style="66" bestFit="1" customWidth="1"/>
    <col min="2571" max="2572" width="10.28515625" style="66" customWidth="1"/>
    <col min="2573" max="2573" width="18" style="66" bestFit="1" customWidth="1"/>
    <col min="2574" max="2758" width="9.140625" style="66"/>
    <col min="2759" max="2766" width="9.140625" style="66" customWidth="1"/>
    <col min="2767" max="2767" width="10.140625" style="66" customWidth="1"/>
    <col min="2768" max="2768" width="1" style="66" customWidth="1"/>
    <col min="2769" max="2771" width="3.28515625" style="66" customWidth="1"/>
    <col min="2772" max="2772" width="1.85546875" style="66" customWidth="1"/>
    <col min="2773" max="2773" width="17.85546875" style="66" customWidth="1"/>
    <col min="2774" max="2774" width="1.85546875" style="66" customWidth="1"/>
    <col min="2775" max="2777" width="3.28515625" style="66" customWidth="1"/>
    <col min="2778" max="2778" width="2.85546875" style="66" customWidth="1"/>
    <col min="2779" max="2779" width="1.85546875" style="66" customWidth="1"/>
    <col min="2780" max="2780" width="19.7109375" style="66" customWidth="1"/>
    <col min="2781" max="2781" width="1.85546875" style="66" customWidth="1"/>
    <col min="2782" max="2784" width="3" style="66" customWidth="1"/>
    <col min="2785" max="2785" width="4.42578125" style="66" customWidth="1"/>
    <col min="2786" max="2787" width="3" style="66" customWidth="1"/>
    <col min="2788" max="2793" width="3.28515625" style="66" customWidth="1"/>
    <col min="2794" max="2795" width="9.140625" style="66" customWidth="1"/>
    <col min="2796" max="2799" width="3.28515625" style="66" customWidth="1"/>
    <col min="2800" max="2800" width="4.140625" style="66" customWidth="1"/>
    <col min="2801" max="2801" width="1.7109375" style="66" customWidth="1"/>
    <col min="2802" max="2806" width="3.28515625" style="66" customWidth="1"/>
    <col min="2807" max="2807" width="1.7109375" style="66" customWidth="1"/>
    <col min="2808" max="2812" width="3.28515625" style="66" customWidth="1"/>
    <col min="2813" max="2818" width="9.140625" style="66" customWidth="1"/>
    <col min="2819" max="2819" width="1.7109375" style="66" customWidth="1"/>
    <col min="2820" max="2824" width="3.28515625" style="66" customWidth="1"/>
    <col min="2825" max="2825" width="1.7109375" style="66" customWidth="1"/>
    <col min="2826" max="2826" width="16.5703125" style="66" bestFit="1" customWidth="1"/>
    <col min="2827" max="2828" width="10.28515625" style="66" customWidth="1"/>
    <col min="2829" max="2829" width="18" style="66" bestFit="1" customWidth="1"/>
    <col min="2830" max="3014" width="9.140625" style="66"/>
    <col min="3015" max="3022" width="9.140625" style="66" customWidth="1"/>
    <col min="3023" max="3023" width="10.140625" style="66" customWidth="1"/>
    <col min="3024" max="3024" width="1" style="66" customWidth="1"/>
    <col min="3025" max="3027" width="3.28515625" style="66" customWidth="1"/>
    <col min="3028" max="3028" width="1.85546875" style="66" customWidth="1"/>
    <col min="3029" max="3029" width="17.85546875" style="66" customWidth="1"/>
    <col min="3030" max="3030" width="1.85546875" style="66" customWidth="1"/>
    <col min="3031" max="3033" width="3.28515625" style="66" customWidth="1"/>
    <col min="3034" max="3034" width="2.85546875" style="66" customWidth="1"/>
    <col min="3035" max="3035" width="1.85546875" style="66" customWidth="1"/>
    <col min="3036" max="3036" width="19.7109375" style="66" customWidth="1"/>
    <col min="3037" max="3037" width="1.85546875" style="66" customWidth="1"/>
    <col min="3038" max="3040" width="3" style="66" customWidth="1"/>
    <col min="3041" max="3041" width="4.42578125" style="66" customWidth="1"/>
    <col min="3042" max="3043" width="3" style="66" customWidth="1"/>
    <col min="3044" max="3049" width="3.28515625" style="66" customWidth="1"/>
    <col min="3050" max="3051" width="9.140625" style="66" customWidth="1"/>
    <col min="3052" max="3055" width="3.28515625" style="66" customWidth="1"/>
    <col min="3056" max="3056" width="4.140625" style="66" customWidth="1"/>
    <col min="3057" max="3057" width="1.7109375" style="66" customWidth="1"/>
    <col min="3058" max="3062" width="3.28515625" style="66" customWidth="1"/>
    <col min="3063" max="3063" width="1.7109375" style="66" customWidth="1"/>
    <col min="3064" max="3068" width="3.28515625" style="66" customWidth="1"/>
    <col min="3069" max="3074" width="9.140625" style="66" customWidth="1"/>
    <col min="3075" max="3075" width="1.7109375" style="66" customWidth="1"/>
    <col min="3076" max="3080" width="3.28515625" style="66" customWidth="1"/>
    <col min="3081" max="3081" width="1.7109375" style="66" customWidth="1"/>
    <col min="3082" max="3082" width="16.5703125" style="66" bestFit="1" customWidth="1"/>
    <col min="3083" max="3084" width="10.28515625" style="66" customWidth="1"/>
    <col min="3085" max="3085" width="18" style="66" bestFit="1" customWidth="1"/>
    <col min="3086" max="3270" width="9.140625" style="66"/>
    <col min="3271" max="3278" width="9.140625" style="66" customWidth="1"/>
    <col min="3279" max="3279" width="10.140625" style="66" customWidth="1"/>
    <col min="3280" max="3280" width="1" style="66" customWidth="1"/>
    <col min="3281" max="3283" width="3.28515625" style="66" customWidth="1"/>
    <col min="3284" max="3284" width="1.85546875" style="66" customWidth="1"/>
    <col min="3285" max="3285" width="17.85546875" style="66" customWidth="1"/>
    <col min="3286" max="3286" width="1.85546875" style="66" customWidth="1"/>
    <col min="3287" max="3289" width="3.28515625" style="66" customWidth="1"/>
    <col min="3290" max="3290" width="2.85546875" style="66" customWidth="1"/>
    <col min="3291" max="3291" width="1.85546875" style="66" customWidth="1"/>
    <col min="3292" max="3292" width="19.7109375" style="66" customWidth="1"/>
    <col min="3293" max="3293" width="1.85546875" style="66" customWidth="1"/>
    <col min="3294" max="3296" width="3" style="66" customWidth="1"/>
    <col min="3297" max="3297" width="4.42578125" style="66" customWidth="1"/>
    <col min="3298" max="3299" width="3" style="66" customWidth="1"/>
    <col min="3300" max="3305" width="3.28515625" style="66" customWidth="1"/>
    <col min="3306" max="3307" width="9.140625" style="66" customWidth="1"/>
    <col min="3308" max="3311" width="3.28515625" style="66" customWidth="1"/>
    <col min="3312" max="3312" width="4.140625" style="66" customWidth="1"/>
    <col min="3313" max="3313" width="1.7109375" style="66" customWidth="1"/>
    <col min="3314" max="3318" width="3.28515625" style="66" customWidth="1"/>
    <col min="3319" max="3319" width="1.7109375" style="66" customWidth="1"/>
    <col min="3320" max="3324" width="3.28515625" style="66" customWidth="1"/>
    <col min="3325" max="3330" width="9.140625" style="66" customWidth="1"/>
    <col min="3331" max="3331" width="1.7109375" style="66" customWidth="1"/>
    <col min="3332" max="3336" width="3.28515625" style="66" customWidth="1"/>
    <col min="3337" max="3337" width="1.7109375" style="66" customWidth="1"/>
    <col min="3338" max="3338" width="16.5703125" style="66" bestFit="1" customWidth="1"/>
    <col min="3339" max="3340" width="10.28515625" style="66" customWidth="1"/>
    <col min="3341" max="3341" width="18" style="66" bestFit="1" customWidth="1"/>
    <col min="3342" max="3526" width="9.140625" style="66"/>
    <col min="3527" max="3534" width="9.140625" style="66" customWidth="1"/>
    <col min="3535" max="3535" width="10.140625" style="66" customWidth="1"/>
    <col min="3536" max="3536" width="1" style="66" customWidth="1"/>
    <col min="3537" max="3539" width="3.28515625" style="66" customWidth="1"/>
    <col min="3540" max="3540" width="1.85546875" style="66" customWidth="1"/>
    <col min="3541" max="3541" width="17.85546875" style="66" customWidth="1"/>
    <col min="3542" max="3542" width="1.85546875" style="66" customWidth="1"/>
    <col min="3543" max="3545" width="3.28515625" style="66" customWidth="1"/>
    <col min="3546" max="3546" width="2.85546875" style="66" customWidth="1"/>
    <col min="3547" max="3547" width="1.85546875" style="66" customWidth="1"/>
    <col min="3548" max="3548" width="19.7109375" style="66" customWidth="1"/>
    <col min="3549" max="3549" width="1.85546875" style="66" customWidth="1"/>
    <col min="3550" max="3552" width="3" style="66" customWidth="1"/>
    <col min="3553" max="3553" width="4.42578125" style="66" customWidth="1"/>
    <col min="3554" max="3555" width="3" style="66" customWidth="1"/>
    <col min="3556" max="3561" width="3.28515625" style="66" customWidth="1"/>
    <col min="3562" max="3563" width="9.140625" style="66" customWidth="1"/>
    <col min="3564" max="3567" width="3.28515625" style="66" customWidth="1"/>
    <col min="3568" max="3568" width="4.140625" style="66" customWidth="1"/>
    <col min="3569" max="3569" width="1.7109375" style="66" customWidth="1"/>
    <col min="3570" max="3574" width="3.28515625" style="66" customWidth="1"/>
    <col min="3575" max="3575" width="1.7109375" style="66" customWidth="1"/>
    <col min="3576" max="3580" width="3.28515625" style="66" customWidth="1"/>
    <col min="3581" max="3586" width="9.140625" style="66" customWidth="1"/>
    <col min="3587" max="3587" width="1.7109375" style="66" customWidth="1"/>
    <col min="3588" max="3592" width="3.28515625" style="66" customWidth="1"/>
    <col min="3593" max="3593" width="1.7109375" style="66" customWidth="1"/>
    <col min="3594" max="3594" width="16.5703125" style="66" bestFit="1" customWidth="1"/>
    <col min="3595" max="3596" width="10.28515625" style="66" customWidth="1"/>
    <col min="3597" max="3597" width="18" style="66" bestFit="1" customWidth="1"/>
    <col min="3598" max="3782" width="9.140625" style="66"/>
    <col min="3783" max="3790" width="9.140625" style="66" customWidth="1"/>
    <col min="3791" max="3791" width="10.140625" style="66" customWidth="1"/>
    <col min="3792" max="3792" width="1" style="66" customWidth="1"/>
    <col min="3793" max="3795" width="3.28515625" style="66" customWidth="1"/>
    <col min="3796" max="3796" width="1.85546875" style="66" customWidth="1"/>
    <col min="3797" max="3797" width="17.85546875" style="66" customWidth="1"/>
    <col min="3798" max="3798" width="1.85546875" style="66" customWidth="1"/>
    <col min="3799" max="3801" width="3.28515625" style="66" customWidth="1"/>
    <col min="3802" max="3802" width="2.85546875" style="66" customWidth="1"/>
    <col min="3803" max="3803" width="1.85546875" style="66" customWidth="1"/>
    <col min="3804" max="3804" width="19.7109375" style="66" customWidth="1"/>
    <col min="3805" max="3805" width="1.85546875" style="66" customWidth="1"/>
    <col min="3806" max="3808" width="3" style="66" customWidth="1"/>
    <col min="3809" max="3809" width="4.42578125" style="66" customWidth="1"/>
    <col min="3810" max="3811" width="3" style="66" customWidth="1"/>
    <col min="3812" max="3817" width="3.28515625" style="66" customWidth="1"/>
    <col min="3818" max="3819" width="9.140625" style="66" customWidth="1"/>
    <col min="3820" max="3823" width="3.28515625" style="66" customWidth="1"/>
    <col min="3824" max="3824" width="4.140625" style="66" customWidth="1"/>
    <col min="3825" max="3825" width="1.7109375" style="66" customWidth="1"/>
    <col min="3826" max="3830" width="3.28515625" style="66" customWidth="1"/>
    <col min="3831" max="3831" width="1.7109375" style="66" customWidth="1"/>
    <col min="3832" max="3836" width="3.28515625" style="66" customWidth="1"/>
    <col min="3837" max="3842" width="9.140625" style="66" customWidth="1"/>
    <col min="3843" max="3843" width="1.7109375" style="66" customWidth="1"/>
    <col min="3844" max="3848" width="3.28515625" style="66" customWidth="1"/>
    <col min="3849" max="3849" width="1.7109375" style="66" customWidth="1"/>
    <col min="3850" max="3850" width="16.5703125" style="66" bestFit="1" customWidth="1"/>
    <col min="3851" max="3852" width="10.28515625" style="66" customWidth="1"/>
    <col min="3853" max="3853" width="18" style="66" bestFit="1" customWidth="1"/>
    <col min="3854" max="4038" width="9.140625" style="66"/>
    <col min="4039" max="4046" width="9.140625" style="66" customWidth="1"/>
    <col min="4047" max="4047" width="10.140625" style="66" customWidth="1"/>
    <col min="4048" max="4048" width="1" style="66" customWidth="1"/>
    <col min="4049" max="4051" width="3.28515625" style="66" customWidth="1"/>
    <col min="4052" max="4052" width="1.85546875" style="66" customWidth="1"/>
    <col min="4053" max="4053" width="17.85546875" style="66" customWidth="1"/>
    <col min="4054" max="4054" width="1.85546875" style="66" customWidth="1"/>
    <col min="4055" max="4057" width="3.28515625" style="66" customWidth="1"/>
    <col min="4058" max="4058" width="2.85546875" style="66" customWidth="1"/>
    <col min="4059" max="4059" width="1.85546875" style="66" customWidth="1"/>
    <col min="4060" max="4060" width="19.7109375" style="66" customWidth="1"/>
    <col min="4061" max="4061" width="1.85546875" style="66" customWidth="1"/>
    <col min="4062" max="4064" width="3" style="66" customWidth="1"/>
    <col min="4065" max="4065" width="4.42578125" style="66" customWidth="1"/>
    <col min="4066" max="4067" width="3" style="66" customWidth="1"/>
    <col min="4068" max="4073" width="3.28515625" style="66" customWidth="1"/>
    <col min="4074" max="4075" width="9.140625" style="66" customWidth="1"/>
    <col min="4076" max="4079" width="3.28515625" style="66" customWidth="1"/>
    <col min="4080" max="4080" width="4.140625" style="66" customWidth="1"/>
    <col min="4081" max="4081" width="1.7109375" style="66" customWidth="1"/>
    <col min="4082" max="4086" width="3.28515625" style="66" customWidth="1"/>
    <col min="4087" max="4087" width="1.7109375" style="66" customWidth="1"/>
    <col min="4088" max="4092" width="3.28515625" style="66" customWidth="1"/>
    <col min="4093" max="4098" width="9.140625" style="66" customWidth="1"/>
    <col min="4099" max="4099" width="1.7109375" style="66" customWidth="1"/>
    <col min="4100" max="4104" width="3.28515625" style="66" customWidth="1"/>
    <col min="4105" max="4105" width="1.7109375" style="66" customWidth="1"/>
    <col min="4106" max="4106" width="16.5703125" style="66" bestFit="1" customWidth="1"/>
    <col min="4107" max="4108" width="10.28515625" style="66" customWidth="1"/>
    <col min="4109" max="4109" width="18" style="66" bestFit="1" customWidth="1"/>
    <col min="4110" max="4294" width="9.140625" style="66"/>
    <col min="4295" max="4302" width="9.140625" style="66" customWidth="1"/>
    <col min="4303" max="4303" width="10.140625" style="66" customWidth="1"/>
    <col min="4304" max="4304" width="1" style="66" customWidth="1"/>
    <col min="4305" max="4307" width="3.28515625" style="66" customWidth="1"/>
    <col min="4308" max="4308" width="1.85546875" style="66" customWidth="1"/>
    <col min="4309" max="4309" width="17.85546875" style="66" customWidth="1"/>
    <col min="4310" max="4310" width="1.85546875" style="66" customWidth="1"/>
    <col min="4311" max="4313" width="3.28515625" style="66" customWidth="1"/>
    <col min="4314" max="4314" width="2.85546875" style="66" customWidth="1"/>
    <col min="4315" max="4315" width="1.85546875" style="66" customWidth="1"/>
    <col min="4316" max="4316" width="19.7109375" style="66" customWidth="1"/>
    <col min="4317" max="4317" width="1.85546875" style="66" customWidth="1"/>
    <col min="4318" max="4320" width="3" style="66" customWidth="1"/>
    <col min="4321" max="4321" width="4.42578125" style="66" customWidth="1"/>
    <col min="4322" max="4323" width="3" style="66" customWidth="1"/>
    <col min="4324" max="4329" width="3.28515625" style="66" customWidth="1"/>
    <col min="4330" max="4331" width="9.140625" style="66" customWidth="1"/>
    <col min="4332" max="4335" width="3.28515625" style="66" customWidth="1"/>
    <col min="4336" max="4336" width="4.140625" style="66" customWidth="1"/>
    <col min="4337" max="4337" width="1.7109375" style="66" customWidth="1"/>
    <col min="4338" max="4342" width="3.28515625" style="66" customWidth="1"/>
    <col min="4343" max="4343" width="1.7109375" style="66" customWidth="1"/>
    <col min="4344" max="4348" width="3.28515625" style="66" customWidth="1"/>
    <col min="4349" max="4354" width="9.140625" style="66" customWidth="1"/>
    <col min="4355" max="4355" width="1.7109375" style="66" customWidth="1"/>
    <col min="4356" max="4360" width="3.28515625" style="66" customWidth="1"/>
    <col min="4361" max="4361" width="1.7109375" style="66" customWidth="1"/>
    <col min="4362" max="4362" width="16.5703125" style="66" bestFit="1" customWidth="1"/>
    <col min="4363" max="4364" width="10.28515625" style="66" customWidth="1"/>
    <col min="4365" max="4365" width="18" style="66" bestFit="1" customWidth="1"/>
    <col min="4366" max="4550" width="9.140625" style="66"/>
    <col min="4551" max="4558" width="9.140625" style="66" customWidth="1"/>
    <col min="4559" max="4559" width="10.140625" style="66" customWidth="1"/>
    <col min="4560" max="4560" width="1" style="66" customWidth="1"/>
    <col min="4561" max="4563" width="3.28515625" style="66" customWidth="1"/>
    <col min="4564" max="4564" width="1.85546875" style="66" customWidth="1"/>
    <col min="4565" max="4565" width="17.85546875" style="66" customWidth="1"/>
    <col min="4566" max="4566" width="1.85546875" style="66" customWidth="1"/>
    <col min="4567" max="4569" width="3.28515625" style="66" customWidth="1"/>
    <col min="4570" max="4570" width="2.85546875" style="66" customWidth="1"/>
    <col min="4571" max="4571" width="1.85546875" style="66" customWidth="1"/>
    <col min="4572" max="4572" width="19.7109375" style="66" customWidth="1"/>
    <col min="4573" max="4573" width="1.85546875" style="66" customWidth="1"/>
    <col min="4574" max="4576" width="3" style="66" customWidth="1"/>
    <col min="4577" max="4577" width="4.42578125" style="66" customWidth="1"/>
    <col min="4578" max="4579" width="3" style="66" customWidth="1"/>
    <col min="4580" max="4585" width="3.28515625" style="66" customWidth="1"/>
    <col min="4586" max="4587" width="9.140625" style="66" customWidth="1"/>
    <col min="4588" max="4591" width="3.28515625" style="66" customWidth="1"/>
    <col min="4592" max="4592" width="4.140625" style="66" customWidth="1"/>
    <col min="4593" max="4593" width="1.7109375" style="66" customWidth="1"/>
    <col min="4594" max="4598" width="3.28515625" style="66" customWidth="1"/>
    <col min="4599" max="4599" width="1.7109375" style="66" customWidth="1"/>
    <col min="4600" max="4604" width="3.28515625" style="66" customWidth="1"/>
    <col min="4605" max="4610" width="9.140625" style="66" customWidth="1"/>
    <col min="4611" max="4611" width="1.7109375" style="66" customWidth="1"/>
    <col min="4612" max="4616" width="3.28515625" style="66" customWidth="1"/>
    <col min="4617" max="4617" width="1.7109375" style="66" customWidth="1"/>
    <col min="4618" max="4618" width="16.5703125" style="66" bestFit="1" customWidth="1"/>
    <col min="4619" max="4620" width="10.28515625" style="66" customWidth="1"/>
    <col min="4621" max="4621" width="18" style="66" bestFit="1" customWidth="1"/>
    <col min="4622" max="4806" width="9.140625" style="66"/>
    <col min="4807" max="4814" width="9.140625" style="66" customWidth="1"/>
    <col min="4815" max="4815" width="10.140625" style="66" customWidth="1"/>
    <col min="4816" max="4816" width="1" style="66" customWidth="1"/>
    <col min="4817" max="4819" width="3.28515625" style="66" customWidth="1"/>
    <col min="4820" max="4820" width="1.85546875" style="66" customWidth="1"/>
    <col min="4821" max="4821" width="17.85546875" style="66" customWidth="1"/>
    <col min="4822" max="4822" width="1.85546875" style="66" customWidth="1"/>
    <col min="4823" max="4825" width="3.28515625" style="66" customWidth="1"/>
    <col min="4826" max="4826" width="2.85546875" style="66" customWidth="1"/>
    <col min="4827" max="4827" width="1.85546875" style="66" customWidth="1"/>
    <col min="4828" max="4828" width="19.7109375" style="66" customWidth="1"/>
    <col min="4829" max="4829" width="1.85546875" style="66" customWidth="1"/>
    <col min="4830" max="4832" width="3" style="66" customWidth="1"/>
    <col min="4833" max="4833" width="4.42578125" style="66" customWidth="1"/>
    <col min="4834" max="4835" width="3" style="66" customWidth="1"/>
    <col min="4836" max="4841" width="3.28515625" style="66" customWidth="1"/>
    <col min="4842" max="4843" width="9.140625" style="66" customWidth="1"/>
    <col min="4844" max="4847" width="3.28515625" style="66" customWidth="1"/>
    <col min="4848" max="4848" width="4.140625" style="66" customWidth="1"/>
    <col min="4849" max="4849" width="1.7109375" style="66" customWidth="1"/>
    <col min="4850" max="4854" width="3.28515625" style="66" customWidth="1"/>
    <col min="4855" max="4855" width="1.7109375" style="66" customWidth="1"/>
    <col min="4856" max="4860" width="3.28515625" style="66" customWidth="1"/>
    <col min="4861" max="4866" width="9.140625" style="66" customWidth="1"/>
    <col min="4867" max="4867" width="1.7109375" style="66" customWidth="1"/>
    <col min="4868" max="4872" width="3.28515625" style="66" customWidth="1"/>
    <col min="4873" max="4873" width="1.7109375" style="66" customWidth="1"/>
    <col min="4874" max="4874" width="16.5703125" style="66" bestFit="1" customWidth="1"/>
    <col min="4875" max="4876" width="10.28515625" style="66" customWidth="1"/>
    <col min="4877" max="4877" width="18" style="66" bestFit="1" customWidth="1"/>
    <col min="4878" max="5062" width="9.140625" style="66"/>
    <col min="5063" max="5070" width="9.140625" style="66" customWidth="1"/>
    <col min="5071" max="5071" width="10.140625" style="66" customWidth="1"/>
    <col min="5072" max="5072" width="1" style="66" customWidth="1"/>
    <col min="5073" max="5075" width="3.28515625" style="66" customWidth="1"/>
    <col min="5076" max="5076" width="1.85546875" style="66" customWidth="1"/>
    <col min="5077" max="5077" width="17.85546875" style="66" customWidth="1"/>
    <col min="5078" max="5078" width="1.85546875" style="66" customWidth="1"/>
    <col min="5079" max="5081" width="3.28515625" style="66" customWidth="1"/>
    <col min="5082" max="5082" width="2.85546875" style="66" customWidth="1"/>
    <col min="5083" max="5083" width="1.85546875" style="66" customWidth="1"/>
    <col min="5084" max="5084" width="19.7109375" style="66" customWidth="1"/>
    <col min="5085" max="5085" width="1.85546875" style="66" customWidth="1"/>
    <col min="5086" max="5088" width="3" style="66" customWidth="1"/>
    <col min="5089" max="5089" width="4.42578125" style="66" customWidth="1"/>
    <col min="5090" max="5091" width="3" style="66" customWidth="1"/>
    <col min="5092" max="5097" width="3.28515625" style="66" customWidth="1"/>
    <col min="5098" max="5099" width="9.140625" style="66" customWidth="1"/>
    <col min="5100" max="5103" width="3.28515625" style="66" customWidth="1"/>
    <col min="5104" max="5104" width="4.140625" style="66" customWidth="1"/>
    <col min="5105" max="5105" width="1.7109375" style="66" customWidth="1"/>
    <col min="5106" max="5110" width="3.28515625" style="66" customWidth="1"/>
    <col min="5111" max="5111" width="1.7109375" style="66" customWidth="1"/>
    <col min="5112" max="5116" width="3.28515625" style="66" customWidth="1"/>
    <col min="5117" max="5122" width="9.140625" style="66" customWidth="1"/>
    <col min="5123" max="5123" width="1.7109375" style="66" customWidth="1"/>
    <col min="5124" max="5128" width="3.28515625" style="66" customWidth="1"/>
    <col min="5129" max="5129" width="1.7109375" style="66" customWidth="1"/>
    <col min="5130" max="5130" width="16.5703125" style="66" bestFit="1" customWidth="1"/>
    <col min="5131" max="5132" width="10.28515625" style="66" customWidth="1"/>
    <col min="5133" max="5133" width="18" style="66" bestFit="1" customWidth="1"/>
    <col min="5134" max="5318" width="9.140625" style="66"/>
    <col min="5319" max="5326" width="9.140625" style="66" customWidth="1"/>
    <col min="5327" max="5327" width="10.140625" style="66" customWidth="1"/>
    <col min="5328" max="5328" width="1" style="66" customWidth="1"/>
    <col min="5329" max="5331" width="3.28515625" style="66" customWidth="1"/>
    <col min="5332" max="5332" width="1.85546875" style="66" customWidth="1"/>
    <col min="5333" max="5333" width="17.85546875" style="66" customWidth="1"/>
    <col min="5334" max="5334" width="1.85546875" style="66" customWidth="1"/>
    <col min="5335" max="5337" width="3.28515625" style="66" customWidth="1"/>
    <col min="5338" max="5338" width="2.85546875" style="66" customWidth="1"/>
    <col min="5339" max="5339" width="1.85546875" style="66" customWidth="1"/>
    <col min="5340" max="5340" width="19.7109375" style="66" customWidth="1"/>
    <col min="5341" max="5341" width="1.85546875" style="66" customWidth="1"/>
    <col min="5342" max="5344" width="3" style="66" customWidth="1"/>
    <col min="5345" max="5345" width="4.42578125" style="66" customWidth="1"/>
    <col min="5346" max="5347" width="3" style="66" customWidth="1"/>
    <col min="5348" max="5353" width="3.28515625" style="66" customWidth="1"/>
    <col min="5354" max="5355" width="9.140625" style="66" customWidth="1"/>
    <col min="5356" max="5359" width="3.28515625" style="66" customWidth="1"/>
    <col min="5360" max="5360" width="4.140625" style="66" customWidth="1"/>
    <col min="5361" max="5361" width="1.7109375" style="66" customWidth="1"/>
    <col min="5362" max="5366" width="3.28515625" style="66" customWidth="1"/>
    <col min="5367" max="5367" width="1.7109375" style="66" customWidth="1"/>
    <col min="5368" max="5372" width="3.28515625" style="66" customWidth="1"/>
    <col min="5373" max="5378" width="9.140625" style="66" customWidth="1"/>
    <col min="5379" max="5379" width="1.7109375" style="66" customWidth="1"/>
    <col min="5380" max="5384" width="3.28515625" style="66" customWidth="1"/>
    <col min="5385" max="5385" width="1.7109375" style="66" customWidth="1"/>
    <col min="5386" max="5386" width="16.5703125" style="66" bestFit="1" customWidth="1"/>
    <col min="5387" max="5388" width="10.28515625" style="66" customWidth="1"/>
    <col min="5389" max="5389" width="18" style="66" bestFit="1" customWidth="1"/>
    <col min="5390" max="5574" width="9.140625" style="66"/>
    <col min="5575" max="5582" width="9.140625" style="66" customWidth="1"/>
    <col min="5583" max="5583" width="10.140625" style="66" customWidth="1"/>
    <col min="5584" max="5584" width="1" style="66" customWidth="1"/>
    <col min="5585" max="5587" width="3.28515625" style="66" customWidth="1"/>
    <col min="5588" max="5588" width="1.85546875" style="66" customWidth="1"/>
    <col min="5589" max="5589" width="17.85546875" style="66" customWidth="1"/>
    <col min="5590" max="5590" width="1.85546875" style="66" customWidth="1"/>
    <col min="5591" max="5593" width="3.28515625" style="66" customWidth="1"/>
    <col min="5594" max="5594" width="2.85546875" style="66" customWidth="1"/>
    <col min="5595" max="5595" width="1.85546875" style="66" customWidth="1"/>
    <col min="5596" max="5596" width="19.7109375" style="66" customWidth="1"/>
    <col min="5597" max="5597" width="1.85546875" style="66" customWidth="1"/>
    <col min="5598" max="5600" width="3" style="66" customWidth="1"/>
    <col min="5601" max="5601" width="4.42578125" style="66" customWidth="1"/>
    <col min="5602" max="5603" width="3" style="66" customWidth="1"/>
    <col min="5604" max="5609" width="3.28515625" style="66" customWidth="1"/>
    <col min="5610" max="5611" width="9.140625" style="66" customWidth="1"/>
    <col min="5612" max="5615" width="3.28515625" style="66" customWidth="1"/>
    <col min="5616" max="5616" width="4.140625" style="66" customWidth="1"/>
    <col min="5617" max="5617" width="1.7109375" style="66" customWidth="1"/>
    <col min="5618" max="5622" width="3.28515625" style="66" customWidth="1"/>
    <col min="5623" max="5623" width="1.7109375" style="66" customWidth="1"/>
    <col min="5624" max="5628" width="3.28515625" style="66" customWidth="1"/>
    <col min="5629" max="5634" width="9.140625" style="66" customWidth="1"/>
    <col min="5635" max="5635" width="1.7109375" style="66" customWidth="1"/>
    <col min="5636" max="5640" width="3.28515625" style="66" customWidth="1"/>
    <col min="5641" max="5641" width="1.7109375" style="66" customWidth="1"/>
    <col min="5642" max="5642" width="16.5703125" style="66" bestFit="1" customWidth="1"/>
    <col min="5643" max="5644" width="10.28515625" style="66" customWidth="1"/>
    <col min="5645" max="5645" width="18" style="66" bestFit="1" customWidth="1"/>
    <col min="5646" max="5830" width="9.140625" style="66"/>
    <col min="5831" max="5838" width="9.140625" style="66" customWidth="1"/>
    <col min="5839" max="5839" width="10.140625" style="66" customWidth="1"/>
    <col min="5840" max="5840" width="1" style="66" customWidth="1"/>
    <col min="5841" max="5843" width="3.28515625" style="66" customWidth="1"/>
    <col min="5844" max="5844" width="1.85546875" style="66" customWidth="1"/>
    <col min="5845" max="5845" width="17.85546875" style="66" customWidth="1"/>
    <col min="5846" max="5846" width="1.85546875" style="66" customWidth="1"/>
    <col min="5847" max="5849" width="3.28515625" style="66" customWidth="1"/>
    <col min="5850" max="5850" width="2.85546875" style="66" customWidth="1"/>
    <col min="5851" max="5851" width="1.85546875" style="66" customWidth="1"/>
    <col min="5852" max="5852" width="19.7109375" style="66" customWidth="1"/>
    <col min="5853" max="5853" width="1.85546875" style="66" customWidth="1"/>
    <col min="5854" max="5856" width="3" style="66" customWidth="1"/>
    <col min="5857" max="5857" width="4.42578125" style="66" customWidth="1"/>
    <col min="5858" max="5859" width="3" style="66" customWidth="1"/>
    <col min="5860" max="5865" width="3.28515625" style="66" customWidth="1"/>
    <col min="5866" max="5867" width="9.140625" style="66" customWidth="1"/>
    <col min="5868" max="5871" width="3.28515625" style="66" customWidth="1"/>
    <col min="5872" max="5872" width="4.140625" style="66" customWidth="1"/>
    <col min="5873" max="5873" width="1.7109375" style="66" customWidth="1"/>
    <col min="5874" max="5878" width="3.28515625" style="66" customWidth="1"/>
    <col min="5879" max="5879" width="1.7109375" style="66" customWidth="1"/>
    <col min="5880" max="5884" width="3.28515625" style="66" customWidth="1"/>
    <col min="5885" max="5890" width="9.140625" style="66" customWidth="1"/>
    <col min="5891" max="5891" width="1.7109375" style="66" customWidth="1"/>
    <col min="5892" max="5896" width="3.28515625" style="66" customWidth="1"/>
    <col min="5897" max="5897" width="1.7109375" style="66" customWidth="1"/>
    <col min="5898" max="5898" width="16.5703125" style="66" bestFit="1" customWidth="1"/>
    <col min="5899" max="5900" width="10.28515625" style="66" customWidth="1"/>
    <col min="5901" max="5901" width="18" style="66" bestFit="1" customWidth="1"/>
    <col min="5902" max="6086" width="9.140625" style="66"/>
    <col min="6087" max="6094" width="9.140625" style="66" customWidth="1"/>
    <col min="6095" max="6095" width="10.140625" style="66" customWidth="1"/>
    <col min="6096" max="6096" width="1" style="66" customWidth="1"/>
    <col min="6097" max="6099" width="3.28515625" style="66" customWidth="1"/>
    <col min="6100" max="6100" width="1.85546875" style="66" customWidth="1"/>
    <col min="6101" max="6101" width="17.85546875" style="66" customWidth="1"/>
    <col min="6102" max="6102" width="1.85546875" style="66" customWidth="1"/>
    <col min="6103" max="6105" width="3.28515625" style="66" customWidth="1"/>
    <col min="6106" max="6106" width="2.85546875" style="66" customWidth="1"/>
    <col min="6107" max="6107" width="1.85546875" style="66" customWidth="1"/>
    <col min="6108" max="6108" width="19.7109375" style="66" customWidth="1"/>
    <col min="6109" max="6109" width="1.85546875" style="66" customWidth="1"/>
    <col min="6110" max="6112" width="3" style="66" customWidth="1"/>
    <col min="6113" max="6113" width="4.42578125" style="66" customWidth="1"/>
    <col min="6114" max="6115" width="3" style="66" customWidth="1"/>
    <col min="6116" max="6121" width="3.28515625" style="66" customWidth="1"/>
    <col min="6122" max="6123" width="9.140625" style="66" customWidth="1"/>
    <col min="6124" max="6127" width="3.28515625" style="66" customWidth="1"/>
    <col min="6128" max="6128" width="4.140625" style="66" customWidth="1"/>
    <col min="6129" max="6129" width="1.7109375" style="66" customWidth="1"/>
    <col min="6130" max="6134" width="3.28515625" style="66" customWidth="1"/>
    <col min="6135" max="6135" width="1.7109375" style="66" customWidth="1"/>
    <col min="6136" max="6140" width="3.28515625" style="66" customWidth="1"/>
    <col min="6141" max="6146" width="9.140625" style="66" customWidth="1"/>
    <col min="6147" max="6147" width="1.7109375" style="66" customWidth="1"/>
    <col min="6148" max="6152" width="3.28515625" style="66" customWidth="1"/>
    <col min="6153" max="6153" width="1.7109375" style="66" customWidth="1"/>
    <col min="6154" max="6154" width="16.5703125" style="66" bestFit="1" customWidth="1"/>
    <col min="6155" max="6156" width="10.28515625" style="66" customWidth="1"/>
    <col min="6157" max="6157" width="18" style="66" bestFit="1" customWidth="1"/>
    <col min="6158" max="6342" width="9.140625" style="66"/>
    <col min="6343" max="6350" width="9.140625" style="66" customWidth="1"/>
    <col min="6351" max="6351" width="10.140625" style="66" customWidth="1"/>
    <col min="6352" max="6352" width="1" style="66" customWidth="1"/>
    <col min="6353" max="6355" width="3.28515625" style="66" customWidth="1"/>
    <col min="6356" max="6356" width="1.85546875" style="66" customWidth="1"/>
    <col min="6357" max="6357" width="17.85546875" style="66" customWidth="1"/>
    <col min="6358" max="6358" width="1.85546875" style="66" customWidth="1"/>
    <col min="6359" max="6361" width="3.28515625" style="66" customWidth="1"/>
    <col min="6362" max="6362" width="2.85546875" style="66" customWidth="1"/>
    <col min="6363" max="6363" width="1.85546875" style="66" customWidth="1"/>
    <col min="6364" max="6364" width="19.7109375" style="66" customWidth="1"/>
    <col min="6365" max="6365" width="1.85546875" style="66" customWidth="1"/>
    <col min="6366" max="6368" width="3" style="66" customWidth="1"/>
    <col min="6369" max="6369" width="4.42578125" style="66" customWidth="1"/>
    <col min="6370" max="6371" width="3" style="66" customWidth="1"/>
    <col min="6372" max="6377" width="3.28515625" style="66" customWidth="1"/>
    <col min="6378" max="6379" width="9.140625" style="66" customWidth="1"/>
    <col min="6380" max="6383" width="3.28515625" style="66" customWidth="1"/>
    <col min="6384" max="6384" width="4.140625" style="66" customWidth="1"/>
    <col min="6385" max="6385" width="1.7109375" style="66" customWidth="1"/>
    <col min="6386" max="6390" width="3.28515625" style="66" customWidth="1"/>
    <col min="6391" max="6391" width="1.7109375" style="66" customWidth="1"/>
    <col min="6392" max="6396" width="3.28515625" style="66" customWidth="1"/>
    <col min="6397" max="6402" width="9.140625" style="66" customWidth="1"/>
    <col min="6403" max="6403" width="1.7109375" style="66" customWidth="1"/>
    <col min="6404" max="6408" width="3.28515625" style="66" customWidth="1"/>
    <col min="6409" max="6409" width="1.7109375" style="66" customWidth="1"/>
    <col min="6410" max="6410" width="16.5703125" style="66" bestFit="1" customWidth="1"/>
    <col min="6411" max="6412" width="10.28515625" style="66" customWidth="1"/>
    <col min="6413" max="6413" width="18" style="66" bestFit="1" customWidth="1"/>
    <col min="6414" max="6598" width="9.140625" style="66"/>
    <col min="6599" max="6606" width="9.140625" style="66" customWidth="1"/>
    <col min="6607" max="6607" width="10.140625" style="66" customWidth="1"/>
    <col min="6608" max="6608" width="1" style="66" customWidth="1"/>
    <col min="6609" max="6611" width="3.28515625" style="66" customWidth="1"/>
    <col min="6612" max="6612" width="1.85546875" style="66" customWidth="1"/>
    <col min="6613" max="6613" width="17.85546875" style="66" customWidth="1"/>
    <col min="6614" max="6614" width="1.85546875" style="66" customWidth="1"/>
    <col min="6615" max="6617" width="3.28515625" style="66" customWidth="1"/>
    <col min="6618" max="6618" width="2.85546875" style="66" customWidth="1"/>
    <col min="6619" max="6619" width="1.85546875" style="66" customWidth="1"/>
    <col min="6620" max="6620" width="19.7109375" style="66" customWidth="1"/>
    <col min="6621" max="6621" width="1.85546875" style="66" customWidth="1"/>
    <col min="6622" max="6624" width="3" style="66" customWidth="1"/>
    <col min="6625" max="6625" width="4.42578125" style="66" customWidth="1"/>
    <col min="6626" max="6627" width="3" style="66" customWidth="1"/>
    <col min="6628" max="6633" width="3.28515625" style="66" customWidth="1"/>
    <col min="6634" max="6635" width="9.140625" style="66" customWidth="1"/>
    <col min="6636" max="6639" width="3.28515625" style="66" customWidth="1"/>
    <col min="6640" max="6640" width="4.140625" style="66" customWidth="1"/>
    <col min="6641" max="6641" width="1.7109375" style="66" customWidth="1"/>
    <col min="6642" max="6646" width="3.28515625" style="66" customWidth="1"/>
    <col min="6647" max="6647" width="1.7109375" style="66" customWidth="1"/>
    <col min="6648" max="6652" width="3.28515625" style="66" customWidth="1"/>
    <col min="6653" max="6658" width="9.140625" style="66" customWidth="1"/>
    <col min="6659" max="6659" width="1.7109375" style="66" customWidth="1"/>
    <col min="6660" max="6664" width="3.28515625" style="66" customWidth="1"/>
    <col min="6665" max="6665" width="1.7109375" style="66" customWidth="1"/>
    <col min="6666" max="6666" width="16.5703125" style="66" bestFit="1" customWidth="1"/>
    <col min="6667" max="6668" width="10.28515625" style="66" customWidth="1"/>
    <col min="6669" max="6669" width="18" style="66" bestFit="1" customWidth="1"/>
    <col min="6670" max="6854" width="9.140625" style="66"/>
    <col min="6855" max="6862" width="9.140625" style="66" customWidth="1"/>
    <col min="6863" max="6863" width="10.140625" style="66" customWidth="1"/>
    <col min="6864" max="6864" width="1" style="66" customWidth="1"/>
    <col min="6865" max="6867" width="3.28515625" style="66" customWidth="1"/>
    <col min="6868" max="6868" width="1.85546875" style="66" customWidth="1"/>
    <col min="6869" max="6869" width="17.85546875" style="66" customWidth="1"/>
    <col min="6870" max="6870" width="1.85546875" style="66" customWidth="1"/>
    <col min="6871" max="6873" width="3.28515625" style="66" customWidth="1"/>
    <col min="6874" max="6874" width="2.85546875" style="66" customWidth="1"/>
    <col min="6875" max="6875" width="1.85546875" style="66" customWidth="1"/>
    <col min="6876" max="6876" width="19.7109375" style="66" customWidth="1"/>
    <col min="6877" max="6877" width="1.85546875" style="66" customWidth="1"/>
    <col min="6878" max="6880" width="3" style="66" customWidth="1"/>
    <col min="6881" max="6881" width="4.42578125" style="66" customWidth="1"/>
    <col min="6882" max="6883" width="3" style="66" customWidth="1"/>
    <col min="6884" max="6889" width="3.28515625" style="66" customWidth="1"/>
    <col min="6890" max="6891" width="9.140625" style="66" customWidth="1"/>
    <col min="6892" max="6895" width="3.28515625" style="66" customWidth="1"/>
    <col min="6896" max="6896" width="4.140625" style="66" customWidth="1"/>
    <col min="6897" max="6897" width="1.7109375" style="66" customWidth="1"/>
    <col min="6898" max="6902" width="3.28515625" style="66" customWidth="1"/>
    <col min="6903" max="6903" width="1.7109375" style="66" customWidth="1"/>
    <col min="6904" max="6908" width="3.28515625" style="66" customWidth="1"/>
    <col min="6909" max="6914" width="9.140625" style="66" customWidth="1"/>
    <col min="6915" max="6915" width="1.7109375" style="66" customWidth="1"/>
    <col min="6916" max="6920" width="3.28515625" style="66" customWidth="1"/>
    <col min="6921" max="6921" width="1.7109375" style="66" customWidth="1"/>
    <col min="6922" max="6922" width="16.5703125" style="66" bestFit="1" customWidth="1"/>
    <col min="6923" max="6924" width="10.28515625" style="66" customWidth="1"/>
    <col min="6925" max="6925" width="18" style="66" bestFit="1" customWidth="1"/>
    <col min="6926" max="7110" width="9.140625" style="66"/>
    <col min="7111" max="7118" width="9.140625" style="66" customWidth="1"/>
    <col min="7119" max="7119" width="10.140625" style="66" customWidth="1"/>
    <col min="7120" max="7120" width="1" style="66" customWidth="1"/>
    <col min="7121" max="7123" width="3.28515625" style="66" customWidth="1"/>
    <col min="7124" max="7124" width="1.85546875" style="66" customWidth="1"/>
    <col min="7125" max="7125" width="17.85546875" style="66" customWidth="1"/>
    <col min="7126" max="7126" width="1.85546875" style="66" customWidth="1"/>
    <col min="7127" max="7129" width="3.28515625" style="66" customWidth="1"/>
    <col min="7130" max="7130" width="2.85546875" style="66" customWidth="1"/>
    <col min="7131" max="7131" width="1.85546875" style="66" customWidth="1"/>
    <col min="7132" max="7132" width="19.7109375" style="66" customWidth="1"/>
    <col min="7133" max="7133" width="1.85546875" style="66" customWidth="1"/>
    <col min="7134" max="7136" width="3" style="66" customWidth="1"/>
    <col min="7137" max="7137" width="4.42578125" style="66" customWidth="1"/>
    <col min="7138" max="7139" width="3" style="66" customWidth="1"/>
    <col min="7140" max="7145" width="3.28515625" style="66" customWidth="1"/>
    <col min="7146" max="7147" width="9.140625" style="66" customWidth="1"/>
    <col min="7148" max="7151" width="3.28515625" style="66" customWidth="1"/>
    <col min="7152" max="7152" width="4.140625" style="66" customWidth="1"/>
    <col min="7153" max="7153" width="1.7109375" style="66" customWidth="1"/>
    <col min="7154" max="7158" width="3.28515625" style="66" customWidth="1"/>
    <col min="7159" max="7159" width="1.7109375" style="66" customWidth="1"/>
    <col min="7160" max="7164" width="3.28515625" style="66" customWidth="1"/>
    <col min="7165" max="7170" width="9.140625" style="66" customWidth="1"/>
    <col min="7171" max="7171" width="1.7109375" style="66" customWidth="1"/>
    <col min="7172" max="7176" width="3.28515625" style="66" customWidth="1"/>
    <col min="7177" max="7177" width="1.7109375" style="66" customWidth="1"/>
    <col min="7178" max="7178" width="16.5703125" style="66" bestFit="1" customWidth="1"/>
    <col min="7179" max="7180" width="10.28515625" style="66" customWidth="1"/>
    <col min="7181" max="7181" width="18" style="66" bestFit="1" customWidth="1"/>
    <col min="7182" max="7366" width="9.140625" style="66"/>
    <col min="7367" max="7374" width="9.140625" style="66" customWidth="1"/>
    <col min="7375" max="7375" width="10.140625" style="66" customWidth="1"/>
    <col min="7376" max="7376" width="1" style="66" customWidth="1"/>
    <col min="7377" max="7379" width="3.28515625" style="66" customWidth="1"/>
    <col min="7380" max="7380" width="1.85546875" style="66" customWidth="1"/>
    <col min="7381" max="7381" width="17.85546875" style="66" customWidth="1"/>
    <col min="7382" max="7382" width="1.85546875" style="66" customWidth="1"/>
    <col min="7383" max="7385" width="3.28515625" style="66" customWidth="1"/>
    <col min="7386" max="7386" width="2.85546875" style="66" customWidth="1"/>
    <col min="7387" max="7387" width="1.85546875" style="66" customWidth="1"/>
    <col min="7388" max="7388" width="19.7109375" style="66" customWidth="1"/>
    <col min="7389" max="7389" width="1.85546875" style="66" customWidth="1"/>
    <col min="7390" max="7392" width="3" style="66" customWidth="1"/>
    <col min="7393" max="7393" width="4.42578125" style="66" customWidth="1"/>
    <col min="7394" max="7395" width="3" style="66" customWidth="1"/>
    <col min="7396" max="7401" width="3.28515625" style="66" customWidth="1"/>
    <col min="7402" max="7403" width="9.140625" style="66" customWidth="1"/>
    <col min="7404" max="7407" width="3.28515625" style="66" customWidth="1"/>
    <col min="7408" max="7408" width="4.140625" style="66" customWidth="1"/>
    <col min="7409" max="7409" width="1.7109375" style="66" customWidth="1"/>
    <col min="7410" max="7414" width="3.28515625" style="66" customWidth="1"/>
    <col min="7415" max="7415" width="1.7109375" style="66" customWidth="1"/>
    <col min="7416" max="7420" width="3.28515625" style="66" customWidth="1"/>
    <col min="7421" max="7426" width="9.140625" style="66" customWidth="1"/>
    <col min="7427" max="7427" width="1.7109375" style="66" customWidth="1"/>
    <col min="7428" max="7432" width="3.28515625" style="66" customWidth="1"/>
    <col min="7433" max="7433" width="1.7109375" style="66" customWidth="1"/>
    <col min="7434" max="7434" width="16.5703125" style="66" bestFit="1" customWidth="1"/>
    <col min="7435" max="7436" width="10.28515625" style="66" customWidth="1"/>
    <col min="7437" max="7437" width="18" style="66" bestFit="1" customWidth="1"/>
    <col min="7438" max="7622" width="9.140625" style="66"/>
    <col min="7623" max="7630" width="9.140625" style="66" customWidth="1"/>
    <col min="7631" max="7631" width="10.140625" style="66" customWidth="1"/>
    <col min="7632" max="7632" width="1" style="66" customWidth="1"/>
    <col min="7633" max="7635" width="3.28515625" style="66" customWidth="1"/>
    <col min="7636" max="7636" width="1.85546875" style="66" customWidth="1"/>
    <col min="7637" max="7637" width="17.85546875" style="66" customWidth="1"/>
    <col min="7638" max="7638" width="1.85546875" style="66" customWidth="1"/>
    <col min="7639" max="7641" width="3.28515625" style="66" customWidth="1"/>
    <col min="7642" max="7642" width="2.85546875" style="66" customWidth="1"/>
    <col min="7643" max="7643" width="1.85546875" style="66" customWidth="1"/>
    <col min="7644" max="7644" width="19.7109375" style="66" customWidth="1"/>
    <col min="7645" max="7645" width="1.85546875" style="66" customWidth="1"/>
    <col min="7646" max="7648" width="3" style="66" customWidth="1"/>
    <col min="7649" max="7649" width="4.42578125" style="66" customWidth="1"/>
    <col min="7650" max="7651" width="3" style="66" customWidth="1"/>
    <col min="7652" max="7657" width="3.28515625" style="66" customWidth="1"/>
    <col min="7658" max="7659" width="9.140625" style="66" customWidth="1"/>
    <col min="7660" max="7663" width="3.28515625" style="66" customWidth="1"/>
    <col min="7664" max="7664" width="4.140625" style="66" customWidth="1"/>
    <col min="7665" max="7665" width="1.7109375" style="66" customWidth="1"/>
    <col min="7666" max="7670" width="3.28515625" style="66" customWidth="1"/>
    <col min="7671" max="7671" width="1.7109375" style="66" customWidth="1"/>
    <col min="7672" max="7676" width="3.28515625" style="66" customWidth="1"/>
    <col min="7677" max="7682" width="9.140625" style="66" customWidth="1"/>
    <col min="7683" max="7683" width="1.7109375" style="66" customWidth="1"/>
    <col min="7684" max="7688" width="3.28515625" style="66" customWidth="1"/>
    <col min="7689" max="7689" width="1.7109375" style="66" customWidth="1"/>
    <col min="7690" max="7690" width="16.5703125" style="66" bestFit="1" customWidth="1"/>
    <col min="7691" max="7692" width="10.28515625" style="66" customWidth="1"/>
    <col min="7693" max="7693" width="18" style="66" bestFit="1" customWidth="1"/>
    <col min="7694" max="7878" width="9.140625" style="66"/>
    <col min="7879" max="7886" width="9.140625" style="66" customWidth="1"/>
    <col min="7887" max="7887" width="10.140625" style="66" customWidth="1"/>
    <col min="7888" max="7888" width="1" style="66" customWidth="1"/>
    <col min="7889" max="7891" width="3.28515625" style="66" customWidth="1"/>
    <col min="7892" max="7892" width="1.85546875" style="66" customWidth="1"/>
    <col min="7893" max="7893" width="17.85546875" style="66" customWidth="1"/>
    <col min="7894" max="7894" width="1.85546875" style="66" customWidth="1"/>
    <col min="7895" max="7897" width="3.28515625" style="66" customWidth="1"/>
    <col min="7898" max="7898" width="2.85546875" style="66" customWidth="1"/>
    <col min="7899" max="7899" width="1.85546875" style="66" customWidth="1"/>
    <col min="7900" max="7900" width="19.7109375" style="66" customWidth="1"/>
    <col min="7901" max="7901" width="1.85546875" style="66" customWidth="1"/>
    <col min="7902" max="7904" width="3" style="66" customWidth="1"/>
    <col min="7905" max="7905" width="4.42578125" style="66" customWidth="1"/>
    <col min="7906" max="7907" width="3" style="66" customWidth="1"/>
    <col min="7908" max="7913" width="3.28515625" style="66" customWidth="1"/>
    <col min="7914" max="7915" width="9.140625" style="66" customWidth="1"/>
    <col min="7916" max="7919" width="3.28515625" style="66" customWidth="1"/>
    <col min="7920" max="7920" width="4.140625" style="66" customWidth="1"/>
    <col min="7921" max="7921" width="1.7109375" style="66" customWidth="1"/>
    <col min="7922" max="7926" width="3.28515625" style="66" customWidth="1"/>
    <col min="7927" max="7927" width="1.7109375" style="66" customWidth="1"/>
    <col min="7928" max="7932" width="3.28515625" style="66" customWidth="1"/>
    <col min="7933" max="7938" width="9.140625" style="66" customWidth="1"/>
    <col min="7939" max="7939" width="1.7109375" style="66" customWidth="1"/>
    <col min="7940" max="7944" width="3.28515625" style="66" customWidth="1"/>
    <col min="7945" max="7945" width="1.7109375" style="66" customWidth="1"/>
    <col min="7946" max="7946" width="16.5703125" style="66" bestFit="1" customWidth="1"/>
    <col min="7947" max="7948" width="10.28515625" style="66" customWidth="1"/>
    <col min="7949" max="7949" width="18" style="66" bestFit="1" customWidth="1"/>
    <col min="7950" max="8134" width="9.140625" style="66"/>
    <col min="8135" max="8142" width="9.140625" style="66" customWidth="1"/>
    <col min="8143" max="8143" width="10.140625" style="66" customWidth="1"/>
    <col min="8144" max="8144" width="1" style="66" customWidth="1"/>
    <col min="8145" max="8147" width="3.28515625" style="66" customWidth="1"/>
    <col min="8148" max="8148" width="1.85546875" style="66" customWidth="1"/>
    <col min="8149" max="8149" width="17.85546875" style="66" customWidth="1"/>
    <col min="8150" max="8150" width="1.85546875" style="66" customWidth="1"/>
    <col min="8151" max="8153" width="3.28515625" style="66" customWidth="1"/>
    <col min="8154" max="8154" width="2.85546875" style="66" customWidth="1"/>
    <col min="8155" max="8155" width="1.85546875" style="66" customWidth="1"/>
    <col min="8156" max="8156" width="19.7109375" style="66" customWidth="1"/>
    <col min="8157" max="8157" width="1.85546875" style="66" customWidth="1"/>
    <col min="8158" max="8160" width="3" style="66" customWidth="1"/>
    <col min="8161" max="8161" width="4.42578125" style="66" customWidth="1"/>
    <col min="8162" max="8163" width="3" style="66" customWidth="1"/>
    <col min="8164" max="8169" width="3.28515625" style="66" customWidth="1"/>
    <col min="8170" max="8171" width="9.140625" style="66" customWidth="1"/>
    <col min="8172" max="8175" width="3.28515625" style="66" customWidth="1"/>
    <col min="8176" max="8176" width="4.140625" style="66" customWidth="1"/>
    <col min="8177" max="8177" width="1.7109375" style="66" customWidth="1"/>
    <col min="8178" max="8182" width="3.28515625" style="66" customWidth="1"/>
    <col min="8183" max="8183" width="1.7109375" style="66" customWidth="1"/>
    <col min="8184" max="8188" width="3.28515625" style="66" customWidth="1"/>
    <col min="8189" max="8194" width="9.140625" style="66" customWidth="1"/>
    <col min="8195" max="8195" width="1.7109375" style="66" customWidth="1"/>
    <col min="8196" max="8200" width="3.28515625" style="66" customWidth="1"/>
    <col min="8201" max="8201" width="1.7109375" style="66" customWidth="1"/>
    <col min="8202" max="8202" width="16.5703125" style="66" bestFit="1" customWidth="1"/>
    <col min="8203" max="8204" width="10.28515625" style="66" customWidth="1"/>
    <col min="8205" max="8205" width="18" style="66" bestFit="1" customWidth="1"/>
    <col min="8206" max="8390" width="9.140625" style="66"/>
    <col min="8391" max="8398" width="9.140625" style="66" customWidth="1"/>
    <col min="8399" max="8399" width="10.140625" style="66" customWidth="1"/>
    <col min="8400" max="8400" width="1" style="66" customWidth="1"/>
    <col min="8401" max="8403" width="3.28515625" style="66" customWidth="1"/>
    <col min="8404" max="8404" width="1.85546875" style="66" customWidth="1"/>
    <col min="8405" max="8405" width="17.85546875" style="66" customWidth="1"/>
    <col min="8406" max="8406" width="1.85546875" style="66" customWidth="1"/>
    <col min="8407" max="8409" width="3.28515625" style="66" customWidth="1"/>
    <col min="8410" max="8410" width="2.85546875" style="66" customWidth="1"/>
    <col min="8411" max="8411" width="1.85546875" style="66" customWidth="1"/>
    <col min="8412" max="8412" width="19.7109375" style="66" customWidth="1"/>
    <col min="8413" max="8413" width="1.85546875" style="66" customWidth="1"/>
    <col min="8414" max="8416" width="3" style="66" customWidth="1"/>
    <col min="8417" max="8417" width="4.42578125" style="66" customWidth="1"/>
    <col min="8418" max="8419" width="3" style="66" customWidth="1"/>
    <col min="8420" max="8425" width="3.28515625" style="66" customWidth="1"/>
    <col min="8426" max="8427" width="9.140625" style="66" customWidth="1"/>
    <col min="8428" max="8431" width="3.28515625" style="66" customWidth="1"/>
    <col min="8432" max="8432" width="4.140625" style="66" customWidth="1"/>
    <col min="8433" max="8433" width="1.7109375" style="66" customWidth="1"/>
    <col min="8434" max="8438" width="3.28515625" style="66" customWidth="1"/>
    <col min="8439" max="8439" width="1.7109375" style="66" customWidth="1"/>
    <col min="8440" max="8444" width="3.28515625" style="66" customWidth="1"/>
    <col min="8445" max="8450" width="9.140625" style="66" customWidth="1"/>
    <col min="8451" max="8451" width="1.7109375" style="66" customWidth="1"/>
    <col min="8452" max="8456" width="3.28515625" style="66" customWidth="1"/>
    <col min="8457" max="8457" width="1.7109375" style="66" customWidth="1"/>
    <col min="8458" max="8458" width="16.5703125" style="66" bestFit="1" customWidth="1"/>
    <col min="8459" max="8460" width="10.28515625" style="66" customWidth="1"/>
    <col min="8461" max="8461" width="18" style="66" bestFit="1" customWidth="1"/>
    <col min="8462" max="8646" width="9.140625" style="66"/>
    <col min="8647" max="8654" width="9.140625" style="66" customWidth="1"/>
    <col min="8655" max="8655" width="10.140625" style="66" customWidth="1"/>
    <col min="8656" max="8656" width="1" style="66" customWidth="1"/>
    <col min="8657" max="8659" width="3.28515625" style="66" customWidth="1"/>
    <col min="8660" max="8660" width="1.85546875" style="66" customWidth="1"/>
    <col min="8661" max="8661" width="17.85546875" style="66" customWidth="1"/>
    <col min="8662" max="8662" width="1.85546875" style="66" customWidth="1"/>
    <col min="8663" max="8665" width="3.28515625" style="66" customWidth="1"/>
    <col min="8666" max="8666" width="2.85546875" style="66" customWidth="1"/>
    <col min="8667" max="8667" width="1.85546875" style="66" customWidth="1"/>
    <col min="8668" max="8668" width="19.7109375" style="66" customWidth="1"/>
    <col min="8669" max="8669" width="1.85546875" style="66" customWidth="1"/>
    <col min="8670" max="8672" width="3" style="66" customWidth="1"/>
    <col min="8673" max="8673" width="4.42578125" style="66" customWidth="1"/>
    <col min="8674" max="8675" width="3" style="66" customWidth="1"/>
    <col min="8676" max="8681" width="3.28515625" style="66" customWidth="1"/>
    <col min="8682" max="8683" width="9.140625" style="66" customWidth="1"/>
    <col min="8684" max="8687" width="3.28515625" style="66" customWidth="1"/>
    <col min="8688" max="8688" width="4.140625" style="66" customWidth="1"/>
    <col min="8689" max="8689" width="1.7109375" style="66" customWidth="1"/>
    <col min="8690" max="8694" width="3.28515625" style="66" customWidth="1"/>
    <col min="8695" max="8695" width="1.7109375" style="66" customWidth="1"/>
    <col min="8696" max="8700" width="3.28515625" style="66" customWidth="1"/>
    <col min="8701" max="8706" width="9.140625" style="66" customWidth="1"/>
    <col min="8707" max="8707" width="1.7109375" style="66" customWidth="1"/>
    <col min="8708" max="8712" width="3.28515625" style="66" customWidth="1"/>
    <col min="8713" max="8713" width="1.7109375" style="66" customWidth="1"/>
    <col min="8714" max="8714" width="16.5703125" style="66" bestFit="1" customWidth="1"/>
    <col min="8715" max="8716" width="10.28515625" style="66" customWidth="1"/>
    <col min="8717" max="8717" width="18" style="66" bestFit="1" customWidth="1"/>
    <col min="8718" max="8902" width="9.140625" style="66"/>
    <col min="8903" max="8910" width="9.140625" style="66" customWidth="1"/>
    <col min="8911" max="8911" width="10.140625" style="66" customWidth="1"/>
    <col min="8912" max="8912" width="1" style="66" customWidth="1"/>
    <col min="8913" max="8915" width="3.28515625" style="66" customWidth="1"/>
    <col min="8916" max="8916" width="1.85546875" style="66" customWidth="1"/>
    <col min="8917" max="8917" width="17.85546875" style="66" customWidth="1"/>
    <col min="8918" max="8918" width="1.85546875" style="66" customWidth="1"/>
    <col min="8919" max="8921" width="3.28515625" style="66" customWidth="1"/>
    <col min="8922" max="8922" width="2.85546875" style="66" customWidth="1"/>
    <col min="8923" max="8923" width="1.85546875" style="66" customWidth="1"/>
    <col min="8924" max="8924" width="19.7109375" style="66" customWidth="1"/>
    <col min="8925" max="8925" width="1.85546875" style="66" customWidth="1"/>
    <col min="8926" max="8928" width="3" style="66" customWidth="1"/>
    <col min="8929" max="8929" width="4.42578125" style="66" customWidth="1"/>
    <col min="8930" max="8931" width="3" style="66" customWidth="1"/>
    <col min="8932" max="8937" width="3.28515625" style="66" customWidth="1"/>
    <col min="8938" max="8939" width="9.140625" style="66" customWidth="1"/>
    <col min="8940" max="8943" width="3.28515625" style="66" customWidth="1"/>
    <col min="8944" max="8944" width="4.140625" style="66" customWidth="1"/>
    <col min="8945" max="8945" width="1.7109375" style="66" customWidth="1"/>
    <col min="8946" max="8950" width="3.28515625" style="66" customWidth="1"/>
    <col min="8951" max="8951" width="1.7109375" style="66" customWidth="1"/>
    <col min="8952" max="8956" width="3.28515625" style="66" customWidth="1"/>
    <col min="8957" max="8962" width="9.140625" style="66" customWidth="1"/>
    <col min="8963" max="8963" width="1.7109375" style="66" customWidth="1"/>
    <col min="8964" max="8968" width="3.28515625" style="66" customWidth="1"/>
    <col min="8969" max="8969" width="1.7109375" style="66" customWidth="1"/>
    <col min="8970" max="8970" width="16.5703125" style="66" bestFit="1" customWidth="1"/>
    <col min="8971" max="8972" width="10.28515625" style="66" customWidth="1"/>
    <col min="8973" max="8973" width="18" style="66" bestFit="1" customWidth="1"/>
    <col min="8974" max="9158" width="9.140625" style="66"/>
    <col min="9159" max="9166" width="9.140625" style="66" customWidth="1"/>
    <col min="9167" max="9167" width="10.140625" style="66" customWidth="1"/>
    <col min="9168" max="9168" width="1" style="66" customWidth="1"/>
    <col min="9169" max="9171" width="3.28515625" style="66" customWidth="1"/>
    <col min="9172" max="9172" width="1.85546875" style="66" customWidth="1"/>
    <col min="9173" max="9173" width="17.85546875" style="66" customWidth="1"/>
    <col min="9174" max="9174" width="1.85546875" style="66" customWidth="1"/>
    <col min="9175" max="9177" width="3.28515625" style="66" customWidth="1"/>
    <col min="9178" max="9178" width="2.85546875" style="66" customWidth="1"/>
    <col min="9179" max="9179" width="1.85546875" style="66" customWidth="1"/>
    <col min="9180" max="9180" width="19.7109375" style="66" customWidth="1"/>
    <col min="9181" max="9181" width="1.85546875" style="66" customWidth="1"/>
    <col min="9182" max="9184" width="3" style="66" customWidth="1"/>
    <col min="9185" max="9185" width="4.42578125" style="66" customWidth="1"/>
    <col min="9186" max="9187" width="3" style="66" customWidth="1"/>
    <col min="9188" max="9193" width="3.28515625" style="66" customWidth="1"/>
    <col min="9194" max="9195" width="9.140625" style="66" customWidth="1"/>
    <col min="9196" max="9199" width="3.28515625" style="66" customWidth="1"/>
    <col min="9200" max="9200" width="4.140625" style="66" customWidth="1"/>
    <col min="9201" max="9201" width="1.7109375" style="66" customWidth="1"/>
    <col min="9202" max="9206" width="3.28515625" style="66" customWidth="1"/>
    <col min="9207" max="9207" width="1.7109375" style="66" customWidth="1"/>
    <col min="9208" max="9212" width="3.28515625" style="66" customWidth="1"/>
    <col min="9213" max="9218" width="9.140625" style="66" customWidth="1"/>
    <col min="9219" max="9219" width="1.7109375" style="66" customWidth="1"/>
    <col min="9220" max="9224" width="3.28515625" style="66" customWidth="1"/>
    <col min="9225" max="9225" width="1.7109375" style="66" customWidth="1"/>
    <col min="9226" max="9226" width="16.5703125" style="66" bestFit="1" customWidth="1"/>
    <col min="9227" max="9228" width="10.28515625" style="66" customWidth="1"/>
    <col min="9229" max="9229" width="18" style="66" bestFit="1" customWidth="1"/>
    <col min="9230" max="9414" width="9.140625" style="66"/>
    <col min="9415" max="9422" width="9.140625" style="66" customWidth="1"/>
    <col min="9423" max="9423" width="10.140625" style="66" customWidth="1"/>
    <col min="9424" max="9424" width="1" style="66" customWidth="1"/>
    <col min="9425" max="9427" width="3.28515625" style="66" customWidth="1"/>
    <col min="9428" max="9428" width="1.85546875" style="66" customWidth="1"/>
    <col min="9429" max="9429" width="17.85546875" style="66" customWidth="1"/>
    <col min="9430" max="9430" width="1.85546875" style="66" customWidth="1"/>
    <col min="9431" max="9433" width="3.28515625" style="66" customWidth="1"/>
    <col min="9434" max="9434" width="2.85546875" style="66" customWidth="1"/>
    <col min="9435" max="9435" width="1.85546875" style="66" customWidth="1"/>
    <col min="9436" max="9436" width="19.7109375" style="66" customWidth="1"/>
    <col min="9437" max="9437" width="1.85546875" style="66" customWidth="1"/>
    <col min="9438" max="9440" width="3" style="66" customWidth="1"/>
    <col min="9441" max="9441" width="4.42578125" style="66" customWidth="1"/>
    <col min="9442" max="9443" width="3" style="66" customWidth="1"/>
    <col min="9444" max="9449" width="3.28515625" style="66" customWidth="1"/>
    <col min="9450" max="9451" width="9.140625" style="66" customWidth="1"/>
    <col min="9452" max="9455" width="3.28515625" style="66" customWidth="1"/>
    <col min="9456" max="9456" width="4.140625" style="66" customWidth="1"/>
    <col min="9457" max="9457" width="1.7109375" style="66" customWidth="1"/>
    <col min="9458" max="9462" width="3.28515625" style="66" customWidth="1"/>
    <col min="9463" max="9463" width="1.7109375" style="66" customWidth="1"/>
    <col min="9464" max="9468" width="3.28515625" style="66" customWidth="1"/>
    <col min="9469" max="9474" width="9.140625" style="66" customWidth="1"/>
    <col min="9475" max="9475" width="1.7109375" style="66" customWidth="1"/>
    <col min="9476" max="9480" width="3.28515625" style="66" customWidth="1"/>
    <col min="9481" max="9481" width="1.7109375" style="66" customWidth="1"/>
    <col min="9482" max="9482" width="16.5703125" style="66" bestFit="1" customWidth="1"/>
    <col min="9483" max="9484" width="10.28515625" style="66" customWidth="1"/>
    <col min="9485" max="9485" width="18" style="66" bestFit="1" customWidth="1"/>
    <col min="9486" max="9670" width="9.140625" style="66"/>
    <col min="9671" max="9678" width="9.140625" style="66" customWidth="1"/>
    <col min="9679" max="9679" width="10.140625" style="66" customWidth="1"/>
    <col min="9680" max="9680" width="1" style="66" customWidth="1"/>
    <col min="9681" max="9683" width="3.28515625" style="66" customWidth="1"/>
    <col min="9684" max="9684" width="1.85546875" style="66" customWidth="1"/>
    <col min="9685" max="9685" width="17.85546875" style="66" customWidth="1"/>
    <col min="9686" max="9686" width="1.85546875" style="66" customWidth="1"/>
    <col min="9687" max="9689" width="3.28515625" style="66" customWidth="1"/>
    <col min="9690" max="9690" width="2.85546875" style="66" customWidth="1"/>
    <col min="9691" max="9691" width="1.85546875" style="66" customWidth="1"/>
    <col min="9692" max="9692" width="19.7109375" style="66" customWidth="1"/>
    <col min="9693" max="9693" width="1.85546875" style="66" customWidth="1"/>
    <col min="9694" max="9696" width="3" style="66" customWidth="1"/>
    <col min="9697" max="9697" width="4.42578125" style="66" customWidth="1"/>
    <col min="9698" max="9699" width="3" style="66" customWidth="1"/>
    <col min="9700" max="9705" width="3.28515625" style="66" customWidth="1"/>
    <col min="9706" max="9707" width="9.140625" style="66" customWidth="1"/>
    <col min="9708" max="9711" width="3.28515625" style="66" customWidth="1"/>
    <col min="9712" max="9712" width="4.140625" style="66" customWidth="1"/>
    <col min="9713" max="9713" width="1.7109375" style="66" customWidth="1"/>
    <col min="9714" max="9718" width="3.28515625" style="66" customWidth="1"/>
    <col min="9719" max="9719" width="1.7109375" style="66" customWidth="1"/>
    <col min="9720" max="9724" width="3.28515625" style="66" customWidth="1"/>
    <col min="9725" max="9730" width="9.140625" style="66" customWidth="1"/>
    <col min="9731" max="9731" width="1.7109375" style="66" customWidth="1"/>
    <col min="9732" max="9736" width="3.28515625" style="66" customWidth="1"/>
    <col min="9737" max="9737" width="1.7109375" style="66" customWidth="1"/>
    <col min="9738" max="9738" width="16.5703125" style="66" bestFit="1" customWidth="1"/>
    <col min="9739" max="9740" width="10.28515625" style="66" customWidth="1"/>
    <col min="9741" max="9741" width="18" style="66" bestFit="1" customWidth="1"/>
    <col min="9742" max="9926" width="9.140625" style="66"/>
    <col min="9927" max="9934" width="9.140625" style="66" customWidth="1"/>
    <col min="9935" max="9935" width="10.140625" style="66" customWidth="1"/>
    <col min="9936" max="9936" width="1" style="66" customWidth="1"/>
    <col min="9937" max="9939" width="3.28515625" style="66" customWidth="1"/>
    <col min="9940" max="9940" width="1.85546875" style="66" customWidth="1"/>
    <col min="9941" max="9941" width="17.85546875" style="66" customWidth="1"/>
    <col min="9942" max="9942" width="1.85546875" style="66" customWidth="1"/>
    <col min="9943" max="9945" width="3.28515625" style="66" customWidth="1"/>
    <col min="9946" max="9946" width="2.85546875" style="66" customWidth="1"/>
    <col min="9947" max="9947" width="1.85546875" style="66" customWidth="1"/>
    <col min="9948" max="9948" width="19.7109375" style="66" customWidth="1"/>
    <col min="9949" max="9949" width="1.85546875" style="66" customWidth="1"/>
    <col min="9950" max="9952" width="3" style="66" customWidth="1"/>
    <col min="9953" max="9953" width="4.42578125" style="66" customWidth="1"/>
    <col min="9954" max="9955" width="3" style="66" customWidth="1"/>
    <col min="9956" max="9961" width="3.28515625" style="66" customWidth="1"/>
    <col min="9962" max="9963" width="9.140625" style="66" customWidth="1"/>
    <col min="9964" max="9967" width="3.28515625" style="66" customWidth="1"/>
    <col min="9968" max="9968" width="4.140625" style="66" customWidth="1"/>
    <col min="9969" max="9969" width="1.7109375" style="66" customWidth="1"/>
    <col min="9970" max="9974" width="3.28515625" style="66" customWidth="1"/>
    <col min="9975" max="9975" width="1.7109375" style="66" customWidth="1"/>
    <col min="9976" max="9980" width="3.28515625" style="66" customWidth="1"/>
    <col min="9981" max="9986" width="9.140625" style="66" customWidth="1"/>
    <col min="9987" max="9987" width="1.7109375" style="66" customWidth="1"/>
    <col min="9988" max="9992" width="3.28515625" style="66" customWidth="1"/>
    <col min="9993" max="9993" width="1.7109375" style="66" customWidth="1"/>
    <col min="9994" max="9994" width="16.5703125" style="66" bestFit="1" customWidth="1"/>
    <col min="9995" max="9996" width="10.28515625" style="66" customWidth="1"/>
    <col min="9997" max="9997" width="18" style="66" bestFit="1" customWidth="1"/>
    <col min="9998" max="10182" width="9.140625" style="66"/>
    <col min="10183" max="10190" width="9.140625" style="66" customWidth="1"/>
    <col min="10191" max="10191" width="10.140625" style="66" customWidth="1"/>
    <col min="10192" max="10192" width="1" style="66" customWidth="1"/>
    <col min="10193" max="10195" width="3.28515625" style="66" customWidth="1"/>
    <col min="10196" max="10196" width="1.85546875" style="66" customWidth="1"/>
    <col min="10197" max="10197" width="17.85546875" style="66" customWidth="1"/>
    <col min="10198" max="10198" width="1.85546875" style="66" customWidth="1"/>
    <col min="10199" max="10201" width="3.28515625" style="66" customWidth="1"/>
    <col min="10202" max="10202" width="2.85546875" style="66" customWidth="1"/>
    <col min="10203" max="10203" width="1.85546875" style="66" customWidth="1"/>
    <col min="10204" max="10204" width="19.7109375" style="66" customWidth="1"/>
    <col min="10205" max="10205" width="1.85546875" style="66" customWidth="1"/>
    <col min="10206" max="10208" width="3" style="66" customWidth="1"/>
    <col min="10209" max="10209" width="4.42578125" style="66" customWidth="1"/>
    <col min="10210" max="10211" width="3" style="66" customWidth="1"/>
    <col min="10212" max="10217" width="3.28515625" style="66" customWidth="1"/>
    <col min="10218" max="10219" width="9.140625" style="66" customWidth="1"/>
    <col min="10220" max="10223" width="3.28515625" style="66" customWidth="1"/>
    <col min="10224" max="10224" width="4.140625" style="66" customWidth="1"/>
    <col min="10225" max="10225" width="1.7109375" style="66" customWidth="1"/>
    <col min="10226" max="10230" width="3.28515625" style="66" customWidth="1"/>
    <col min="10231" max="10231" width="1.7109375" style="66" customWidth="1"/>
    <col min="10232" max="10236" width="3.28515625" style="66" customWidth="1"/>
    <col min="10237" max="10242" width="9.140625" style="66" customWidth="1"/>
    <col min="10243" max="10243" width="1.7109375" style="66" customWidth="1"/>
    <col min="10244" max="10248" width="3.28515625" style="66" customWidth="1"/>
    <col min="10249" max="10249" width="1.7109375" style="66" customWidth="1"/>
    <col min="10250" max="10250" width="16.5703125" style="66" bestFit="1" customWidth="1"/>
    <col min="10251" max="10252" width="10.28515625" style="66" customWidth="1"/>
    <col min="10253" max="10253" width="18" style="66" bestFit="1" customWidth="1"/>
    <col min="10254" max="10438" width="9.140625" style="66"/>
    <col min="10439" max="10446" width="9.140625" style="66" customWidth="1"/>
    <col min="10447" max="10447" width="10.140625" style="66" customWidth="1"/>
    <col min="10448" max="10448" width="1" style="66" customWidth="1"/>
    <col min="10449" max="10451" width="3.28515625" style="66" customWidth="1"/>
    <col min="10452" max="10452" width="1.85546875" style="66" customWidth="1"/>
    <col min="10453" max="10453" width="17.85546875" style="66" customWidth="1"/>
    <col min="10454" max="10454" width="1.85546875" style="66" customWidth="1"/>
    <col min="10455" max="10457" width="3.28515625" style="66" customWidth="1"/>
    <col min="10458" max="10458" width="2.85546875" style="66" customWidth="1"/>
    <col min="10459" max="10459" width="1.85546875" style="66" customWidth="1"/>
    <col min="10460" max="10460" width="19.7109375" style="66" customWidth="1"/>
    <col min="10461" max="10461" width="1.85546875" style="66" customWidth="1"/>
    <col min="10462" max="10464" width="3" style="66" customWidth="1"/>
    <col min="10465" max="10465" width="4.42578125" style="66" customWidth="1"/>
    <col min="10466" max="10467" width="3" style="66" customWidth="1"/>
    <col min="10468" max="10473" width="3.28515625" style="66" customWidth="1"/>
    <col min="10474" max="10475" width="9.140625" style="66" customWidth="1"/>
    <col min="10476" max="10479" width="3.28515625" style="66" customWidth="1"/>
    <col min="10480" max="10480" width="4.140625" style="66" customWidth="1"/>
    <col min="10481" max="10481" width="1.7109375" style="66" customWidth="1"/>
    <col min="10482" max="10486" width="3.28515625" style="66" customWidth="1"/>
    <col min="10487" max="10487" width="1.7109375" style="66" customWidth="1"/>
    <col min="10488" max="10492" width="3.28515625" style="66" customWidth="1"/>
    <col min="10493" max="10498" width="9.140625" style="66" customWidth="1"/>
    <col min="10499" max="10499" width="1.7109375" style="66" customWidth="1"/>
    <col min="10500" max="10504" width="3.28515625" style="66" customWidth="1"/>
    <col min="10505" max="10505" width="1.7109375" style="66" customWidth="1"/>
    <col min="10506" max="10506" width="16.5703125" style="66" bestFit="1" customWidth="1"/>
    <col min="10507" max="10508" width="10.28515625" style="66" customWidth="1"/>
    <col min="10509" max="10509" width="18" style="66" bestFit="1" customWidth="1"/>
    <col min="10510" max="10694" width="9.140625" style="66"/>
    <col min="10695" max="10702" width="9.140625" style="66" customWidth="1"/>
    <col min="10703" max="10703" width="10.140625" style="66" customWidth="1"/>
    <col min="10704" max="10704" width="1" style="66" customWidth="1"/>
    <col min="10705" max="10707" width="3.28515625" style="66" customWidth="1"/>
    <col min="10708" max="10708" width="1.85546875" style="66" customWidth="1"/>
    <col min="10709" max="10709" width="17.85546875" style="66" customWidth="1"/>
    <col min="10710" max="10710" width="1.85546875" style="66" customWidth="1"/>
    <col min="10711" max="10713" width="3.28515625" style="66" customWidth="1"/>
    <col min="10714" max="10714" width="2.85546875" style="66" customWidth="1"/>
    <col min="10715" max="10715" width="1.85546875" style="66" customWidth="1"/>
    <col min="10716" max="10716" width="19.7109375" style="66" customWidth="1"/>
    <col min="10717" max="10717" width="1.85546875" style="66" customWidth="1"/>
    <col min="10718" max="10720" width="3" style="66" customWidth="1"/>
    <col min="10721" max="10721" width="4.42578125" style="66" customWidth="1"/>
    <col min="10722" max="10723" width="3" style="66" customWidth="1"/>
    <col min="10724" max="10729" width="3.28515625" style="66" customWidth="1"/>
    <col min="10730" max="10731" width="9.140625" style="66" customWidth="1"/>
    <col min="10732" max="10735" width="3.28515625" style="66" customWidth="1"/>
    <col min="10736" max="10736" width="4.140625" style="66" customWidth="1"/>
    <col min="10737" max="10737" width="1.7109375" style="66" customWidth="1"/>
    <col min="10738" max="10742" width="3.28515625" style="66" customWidth="1"/>
    <col min="10743" max="10743" width="1.7109375" style="66" customWidth="1"/>
    <col min="10744" max="10748" width="3.28515625" style="66" customWidth="1"/>
    <col min="10749" max="10754" width="9.140625" style="66" customWidth="1"/>
    <col min="10755" max="10755" width="1.7109375" style="66" customWidth="1"/>
    <col min="10756" max="10760" width="3.28515625" style="66" customWidth="1"/>
    <col min="10761" max="10761" width="1.7109375" style="66" customWidth="1"/>
    <col min="10762" max="10762" width="16.5703125" style="66" bestFit="1" customWidth="1"/>
    <col min="10763" max="10764" width="10.28515625" style="66" customWidth="1"/>
    <col min="10765" max="10765" width="18" style="66" bestFit="1" customWidth="1"/>
    <col min="10766" max="10950" width="9.140625" style="66"/>
    <col min="10951" max="10958" width="9.140625" style="66" customWidth="1"/>
    <col min="10959" max="10959" width="10.140625" style="66" customWidth="1"/>
    <col min="10960" max="10960" width="1" style="66" customWidth="1"/>
    <col min="10961" max="10963" width="3.28515625" style="66" customWidth="1"/>
    <col min="10964" max="10964" width="1.85546875" style="66" customWidth="1"/>
    <col min="10965" max="10965" width="17.85546875" style="66" customWidth="1"/>
    <col min="10966" max="10966" width="1.85546875" style="66" customWidth="1"/>
    <col min="10967" max="10969" width="3.28515625" style="66" customWidth="1"/>
    <col min="10970" max="10970" width="2.85546875" style="66" customWidth="1"/>
    <col min="10971" max="10971" width="1.85546875" style="66" customWidth="1"/>
    <col min="10972" max="10972" width="19.7109375" style="66" customWidth="1"/>
    <col min="10973" max="10973" width="1.85546875" style="66" customWidth="1"/>
    <col min="10974" max="10976" width="3" style="66" customWidth="1"/>
    <col min="10977" max="10977" width="4.42578125" style="66" customWidth="1"/>
    <col min="10978" max="10979" width="3" style="66" customWidth="1"/>
    <col min="10980" max="10985" width="3.28515625" style="66" customWidth="1"/>
    <col min="10986" max="10987" width="9.140625" style="66" customWidth="1"/>
    <col min="10988" max="10991" width="3.28515625" style="66" customWidth="1"/>
    <col min="10992" max="10992" width="4.140625" style="66" customWidth="1"/>
    <col min="10993" max="10993" width="1.7109375" style="66" customWidth="1"/>
    <col min="10994" max="10998" width="3.28515625" style="66" customWidth="1"/>
    <col min="10999" max="10999" width="1.7109375" style="66" customWidth="1"/>
    <col min="11000" max="11004" width="3.28515625" style="66" customWidth="1"/>
    <col min="11005" max="11010" width="9.140625" style="66" customWidth="1"/>
    <col min="11011" max="11011" width="1.7109375" style="66" customWidth="1"/>
    <col min="11012" max="11016" width="3.28515625" style="66" customWidth="1"/>
    <col min="11017" max="11017" width="1.7109375" style="66" customWidth="1"/>
    <col min="11018" max="11018" width="16.5703125" style="66" bestFit="1" customWidth="1"/>
    <col min="11019" max="11020" width="10.28515625" style="66" customWidth="1"/>
    <col min="11021" max="11021" width="18" style="66" bestFit="1" customWidth="1"/>
    <col min="11022" max="11206" width="9.140625" style="66"/>
    <col min="11207" max="11214" width="9.140625" style="66" customWidth="1"/>
    <col min="11215" max="11215" width="10.140625" style="66" customWidth="1"/>
    <col min="11216" max="11216" width="1" style="66" customWidth="1"/>
    <col min="11217" max="11219" width="3.28515625" style="66" customWidth="1"/>
    <col min="11220" max="11220" width="1.85546875" style="66" customWidth="1"/>
    <col min="11221" max="11221" width="17.85546875" style="66" customWidth="1"/>
    <col min="11222" max="11222" width="1.85546875" style="66" customWidth="1"/>
    <col min="11223" max="11225" width="3.28515625" style="66" customWidth="1"/>
    <col min="11226" max="11226" width="2.85546875" style="66" customWidth="1"/>
    <col min="11227" max="11227" width="1.85546875" style="66" customWidth="1"/>
    <col min="11228" max="11228" width="19.7109375" style="66" customWidth="1"/>
    <col min="11229" max="11229" width="1.85546875" style="66" customWidth="1"/>
    <col min="11230" max="11232" width="3" style="66" customWidth="1"/>
    <col min="11233" max="11233" width="4.42578125" style="66" customWidth="1"/>
    <col min="11234" max="11235" width="3" style="66" customWidth="1"/>
    <col min="11236" max="11241" width="3.28515625" style="66" customWidth="1"/>
    <col min="11242" max="11243" width="9.140625" style="66" customWidth="1"/>
    <col min="11244" max="11247" width="3.28515625" style="66" customWidth="1"/>
    <col min="11248" max="11248" width="4.140625" style="66" customWidth="1"/>
    <col min="11249" max="11249" width="1.7109375" style="66" customWidth="1"/>
    <col min="11250" max="11254" width="3.28515625" style="66" customWidth="1"/>
    <col min="11255" max="11255" width="1.7109375" style="66" customWidth="1"/>
    <col min="11256" max="11260" width="3.28515625" style="66" customWidth="1"/>
    <col min="11261" max="11266" width="9.140625" style="66" customWidth="1"/>
    <col min="11267" max="11267" width="1.7109375" style="66" customWidth="1"/>
    <col min="11268" max="11272" width="3.28515625" style="66" customWidth="1"/>
    <col min="11273" max="11273" width="1.7109375" style="66" customWidth="1"/>
    <col min="11274" max="11274" width="16.5703125" style="66" bestFit="1" customWidth="1"/>
    <col min="11275" max="11276" width="10.28515625" style="66" customWidth="1"/>
    <col min="11277" max="11277" width="18" style="66" bestFit="1" customWidth="1"/>
    <col min="11278" max="11462" width="9.140625" style="66"/>
    <col min="11463" max="11470" width="9.140625" style="66" customWidth="1"/>
    <col min="11471" max="11471" width="10.140625" style="66" customWidth="1"/>
    <col min="11472" max="11472" width="1" style="66" customWidth="1"/>
    <col min="11473" max="11475" width="3.28515625" style="66" customWidth="1"/>
    <col min="11476" max="11476" width="1.85546875" style="66" customWidth="1"/>
    <col min="11477" max="11477" width="17.85546875" style="66" customWidth="1"/>
    <col min="11478" max="11478" width="1.85546875" style="66" customWidth="1"/>
    <col min="11479" max="11481" width="3.28515625" style="66" customWidth="1"/>
    <col min="11482" max="11482" width="2.85546875" style="66" customWidth="1"/>
    <col min="11483" max="11483" width="1.85546875" style="66" customWidth="1"/>
    <col min="11484" max="11484" width="19.7109375" style="66" customWidth="1"/>
    <col min="11485" max="11485" width="1.85546875" style="66" customWidth="1"/>
    <col min="11486" max="11488" width="3" style="66" customWidth="1"/>
    <col min="11489" max="11489" width="4.42578125" style="66" customWidth="1"/>
    <col min="11490" max="11491" width="3" style="66" customWidth="1"/>
    <col min="11492" max="11497" width="3.28515625" style="66" customWidth="1"/>
    <col min="11498" max="11499" width="9.140625" style="66" customWidth="1"/>
    <col min="11500" max="11503" width="3.28515625" style="66" customWidth="1"/>
    <col min="11504" max="11504" width="4.140625" style="66" customWidth="1"/>
    <col min="11505" max="11505" width="1.7109375" style="66" customWidth="1"/>
    <col min="11506" max="11510" width="3.28515625" style="66" customWidth="1"/>
    <col min="11511" max="11511" width="1.7109375" style="66" customWidth="1"/>
    <col min="11512" max="11516" width="3.28515625" style="66" customWidth="1"/>
    <col min="11517" max="11522" width="9.140625" style="66" customWidth="1"/>
    <col min="11523" max="11523" width="1.7109375" style="66" customWidth="1"/>
    <col min="11524" max="11528" width="3.28515625" style="66" customWidth="1"/>
    <col min="11529" max="11529" width="1.7109375" style="66" customWidth="1"/>
    <col min="11530" max="11530" width="16.5703125" style="66" bestFit="1" customWidth="1"/>
    <col min="11531" max="11532" width="10.28515625" style="66" customWidth="1"/>
    <col min="11533" max="11533" width="18" style="66" bestFit="1" customWidth="1"/>
    <col min="11534" max="11718" width="9.140625" style="66"/>
    <col min="11719" max="11726" width="9.140625" style="66" customWidth="1"/>
    <col min="11727" max="11727" width="10.140625" style="66" customWidth="1"/>
    <col min="11728" max="11728" width="1" style="66" customWidth="1"/>
    <col min="11729" max="11731" width="3.28515625" style="66" customWidth="1"/>
    <col min="11732" max="11732" width="1.85546875" style="66" customWidth="1"/>
    <col min="11733" max="11733" width="17.85546875" style="66" customWidth="1"/>
    <col min="11734" max="11734" width="1.85546875" style="66" customWidth="1"/>
    <col min="11735" max="11737" width="3.28515625" style="66" customWidth="1"/>
    <col min="11738" max="11738" width="2.85546875" style="66" customWidth="1"/>
    <col min="11739" max="11739" width="1.85546875" style="66" customWidth="1"/>
    <col min="11740" max="11740" width="19.7109375" style="66" customWidth="1"/>
    <col min="11741" max="11741" width="1.85546875" style="66" customWidth="1"/>
    <col min="11742" max="11744" width="3" style="66" customWidth="1"/>
    <col min="11745" max="11745" width="4.42578125" style="66" customWidth="1"/>
    <col min="11746" max="11747" width="3" style="66" customWidth="1"/>
    <col min="11748" max="11753" width="3.28515625" style="66" customWidth="1"/>
    <col min="11754" max="11755" width="9.140625" style="66" customWidth="1"/>
    <col min="11756" max="11759" width="3.28515625" style="66" customWidth="1"/>
    <col min="11760" max="11760" width="4.140625" style="66" customWidth="1"/>
    <col min="11761" max="11761" width="1.7109375" style="66" customWidth="1"/>
    <col min="11762" max="11766" width="3.28515625" style="66" customWidth="1"/>
    <col min="11767" max="11767" width="1.7109375" style="66" customWidth="1"/>
    <col min="11768" max="11772" width="3.28515625" style="66" customWidth="1"/>
    <col min="11773" max="11778" width="9.140625" style="66" customWidth="1"/>
    <col min="11779" max="11779" width="1.7109375" style="66" customWidth="1"/>
    <col min="11780" max="11784" width="3.28515625" style="66" customWidth="1"/>
    <col min="11785" max="11785" width="1.7109375" style="66" customWidth="1"/>
    <col min="11786" max="11786" width="16.5703125" style="66" bestFit="1" customWidth="1"/>
    <col min="11787" max="11788" width="10.28515625" style="66" customWidth="1"/>
    <col min="11789" max="11789" width="18" style="66" bestFit="1" customWidth="1"/>
    <col min="11790" max="11974" width="9.140625" style="66"/>
    <col min="11975" max="11982" width="9.140625" style="66" customWidth="1"/>
    <col min="11983" max="11983" width="10.140625" style="66" customWidth="1"/>
    <col min="11984" max="11984" width="1" style="66" customWidth="1"/>
    <col min="11985" max="11987" width="3.28515625" style="66" customWidth="1"/>
    <col min="11988" max="11988" width="1.85546875" style="66" customWidth="1"/>
    <col min="11989" max="11989" width="17.85546875" style="66" customWidth="1"/>
    <col min="11990" max="11990" width="1.85546875" style="66" customWidth="1"/>
    <col min="11991" max="11993" width="3.28515625" style="66" customWidth="1"/>
    <col min="11994" max="11994" width="2.85546875" style="66" customWidth="1"/>
    <col min="11995" max="11995" width="1.85546875" style="66" customWidth="1"/>
    <col min="11996" max="11996" width="19.7109375" style="66" customWidth="1"/>
    <col min="11997" max="11997" width="1.85546875" style="66" customWidth="1"/>
    <col min="11998" max="12000" width="3" style="66" customWidth="1"/>
    <col min="12001" max="12001" width="4.42578125" style="66" customWidth="1"/>
    <col min="12002" max="12003" width="3" style="66" customWidth="1"/>
    <col min="12004" max="12009" width="3.28515625" style="66" customWidth="1"/>
    <col min="12010" max="12011" width="9.140625" style="66" customWidth="1"/>
    <col min="12012" max="12015" width="3.28515625" style="66" customWidth="1"/>
    <col min="12016" max="12016" width="4.140625" style="66" customWidth="1"/>
    <col min="12017" max="12017" width="1.7109375" style="66" customWidth="1"/>
    <col min="12018" max="12022" width="3.28515625" style="66" customWidth="1"/>
    <col min="12023" max="12023" width="1.7109375" style="66" customWidth="1"/>
    <col min="12024" max="12028" width="3.28515625" style="66" customWidth="1"/>
    <col min="12029" max="12034" width="9.140625" style="66" customWidth="1"/>
    <col min="12035" max="12035" width="1.7109375" style="66" customWidth="1"/>
    <col min="12036" max="12040" width="3.28515625" style="66" customWidth="1"/>
    <col min="12041" max="12041" width="1.7109375" style="66" customWidth="1"/>
    <col min="12042" max="12042" width="16.5703125" style="66" bestFit="1" customWidth="1"/>
    <col min="12043" max="12044" width="10.28515625" style="66" customWidth="1"/>
    <col min="12045" max="12045" width="18" style="66" bestFit="1" customWidth="1"/>
    <col min="12046" max="12230" width="9.140625" style="66"/>
    <col min="12231" max="12238" width="9.140625" style="66" customWidth="1"/>
    <col min="12239" max="12239" width="10.140625" style="66" customWidth="1"/>
    <col min="12240" max="12240" width="1" style="66" customWidth="1"/>
    <col min="12241" max="12243" width="3.28515625" style="66" customWidth="1"/>
    <col min="12244" max="12244" width="1.85546875" style="66" customWidth="1"/>
    <col min="12245" max="12245" width="17.85546875" style="66" customWidth="1"/>
    <col min="12246" max="12246" width="1.85546875" style="66" customWidth="1"/>
    <col min="12247" max="12249" width="3.28515625" style="66" customWidth="1"/>
    <col min="12250" max="12250" width="2.85546875" style="66" customWidth="1"/>
    <col min="12251" max="12251" width="1.85546875" style="66" customWidth="1"/>
    <col min="12252" max="12252" width="19.7109375" style="66" customWidth="1"/>
    <col min="12253" max="12253" width="1.85546875" style="66" customWidth="1"/>
    <col min="12254" max="12256" width="3" style="66" customWidth="1"/>
    <col min="12257" max="12257" width="4.42578125" style="66" customWidth="1"/>
    <col min="12258" max="12259" width="3" style="66" customWidth="1"/>
    <col min="12260" max="12265" width="3.28515625" style="66" customWidth="1"/>
    <col min="12266" max="12267" width="9.140625" style="66" customWidth="1"/>
    <col min="12268" max="12271" width="3.28515625" style="66" customWidth="1"/>
    <col min="12272" max="12272" width="4.140625" style="66" customWidth="1"/>
    <col min="12273" max="12273" width="1.7109375" style="66" customWidth="1"/>
    <col min="12274" max="12278" width="3.28515625" style="66" customWidth="1"/>
    <col min="12279" max="12279" width="1.7109375" style="66" customWidth="1"/>
    <col min="12280" max="12284" width="3.28515625" style="66" customWidth="1"/>
    <col min="12285" max="12290" width="9.140625" style="66" customWidth="1"/>
    <col min="12291" max="12291" width="1.7109375" style="66" customWidth="1"/>
    <col min="12292" max="12296" width="3.28515625" style="66" customWidth="1"/>
    <col min="12297" max="12297" width="1.7109375" style="66" customWidth="1"/>
    <col min="12298" max="12298" width="16.5703125" style="66" bestFit="1" customWidth="1"/>
    <col min="12299" max="12300" width="10.28515625" style="66" customWidth="1"/>
    <col min="12301" max="12301" width="18" style="66" bestFit="1" customWidth="1"/>
    <col min="12302" max="12486" width="9.140625" style="66"/>
    <col min="12487" max="12494" width="9.140625" style="66" customWidth="1"/>
    <col min="12495" max="12495" width="10.140625" style="66" customWidth="1"/>
    <col min="12496" max="12496" width="1" style="66" customWidth="1"/>
    <col min="12497" max="12499" width="3.28515625" style="66" customWidth="1"/>
    <col min="12500" max="12500" width="1.85546875" style="66" customWidth="1"/>
    <col min="12501" max="12501" width="17.85546875" style="66" customWidth="1"/>
    <col min="12502" max="12502" width="1.85546875" style="66" customWidth="1"/>
    <col min="12503" max="12505" width="3.28515625" style="66" customWidth="1"/>
    <col min="12506" max="12506" width="2.85546875" style="66" customWidth="1"/>
    <col min="12507" max="12507" width="1.85546875" style="66" customWidth="1"/>
    <col min="12508" max="12508" width="19.7109375" style="66" customWidth="1"/>
    <col min="12509" max="12509" width="1.85546875" style="66" customWidth="1"/>
    <col min="12510" max="12512" width="3" style="66" customWidth="1"/>
    <col min="12513" max="12513" width="4.42578125" style="66" customWidth="1"/>
    <col min="12514" max="12515" width="3" style="66" customWidth="1"/>
    <col min="12516" max="12521" width="3.28515625" style="66" customWidth="1"/>
    <col min="12522" max="12523" width="9.140625" style="66" customWidth="1"/>
    <col min="12524" max="12527" width="3.28515625" style="66" customWidth="1"/>
    <col min="12528" max="12528" width="4.140625" style="66" customWidth="1"/>
    <col min="12529" max="12529" width="1.7109375" style="66" customWidth="1"/>
    <col min="12530" max="12534" width="3.28515625" style="66" customWidth="1"/>
    <col min="12535" max="12535" width="1.7109375" style="66" customWidth="1"/>
    <col min="12536" max="12540" width="3.28515625" style="66" customWidth="1"/>
    <col min="12541" max="12546" width="9.140625" style="66" customWidth="1"/>
    <col min="12547" max="12547" width="1.7109375" style="66" customWidth="1"/>
    <col min="12548" max="12552" width="3.28515625" style="66" customWidth="1"/>
    <col min="12553" max="12553" width="1.7109375" style="66" customWidth="1"/>
    <col min="12554" max="12554" width="16.5703125" style="66" bestFit="1" customWidth="1"/>
    <col min="12555" max="12556" width="10.28515625" style="66" customWidth="1"/>
    <col min="12557" max="12557" width="18" style="66" bestFit="1" customWidth="1"/>
    <col min="12558" max="12742" width="9.140625" style="66"/>
    <col min="12743" max="12750" width="9.140625" style="66" customWidth="1"/>
    <col min="12751" max="12751" width="10.140625" style="66" customWidth="1"/>
    <col min="12752" max="12752" width="1" style="66" customWidth="1"/>
    <col min="12753" max="12755" width="3.28515625" style="66" customWidth="1"/>
    <col min="12756" max="12756" width="1.85546875" style="66" customWidth="1"/>
    <col min="12757" max="12757" width="17.85546875" style="66" customWidth="1"/>
    <col min="12758" max="12758" width="1.85546875" style="66" customWidth="1"/>
    <col min="12759" max="12761" width="3.28515625" style="66" customWidth="1"/>
    <col min="12762" max="12762" width="2.85546875" style="66" customWidth="1"/>
    <col min="12763" max="12763" width="1.85546875" style="66" customWidth="1"/>
    <col min="12764" max="12764" width="19.7109375" style="66" customWidth="1"/>
    <col min="12765" max="12765" width="1.85546875" style="66" customWidth="1"/>
    <col min="12766" max="12768" width="3" style="66" customWidth="1"/>
    <col min="12769" max="12769" width="4.42578125" style="66" customWidth="1"/>
    <col min="12770" max="12771" width="3" style="66" customWidth="1"/>
    <col min="12772" max="12777" width="3.28515625" style="66" customWidth="1"/>
    <col min="12778" max="12779" width="9.140625" style="66" customWidth="1"/>
    <col min="12780" max="12783" width="3.28515625" style="66" customWidth="1"/>
    <col min="12784" max="12784" width="4.140625" style="66" customWidth="1"/>
    <col min="12785" max="12785" width="1.7109375" style="66" customWidth="1"/>
    <col min="12786" max="12790" width="3.28515625" style="66" customWidth="1"/>
    <col min="12791" max="12791" width="1.7109375" style="66" customWidth="1"/>
    <col min="12792" max="12796" width="3.28515625" style="66" customWidth="1"/>
    <col min="12797" max="12802" width="9.140625" style="66" customWidth="1"/>
    <col min="12803" max="12803" width="1.7109375" style="66" customWidth="1"/>
    <col min="12804" max="12808" width="3.28515625" style="66" customWidth="1"/>
    <col min="12809" max="12809" width="1.7109375" style="66" customWidth="1"/>
    <col min="12810" max="12810" width="16.5703125" style="66" bestFit="1" customWidth="1"/>
    <col min="12811" max="12812" width="10.28515625" style="66" customWidth="1"/>
    <col min="12813" max="12813" width="18" style="66" bestFit="1" customWidth="1"/>
    <col min="12814" max="12998" width="9.140625" style="66"/>
    <col min="12999" max="13006" width="9.140625" style="66" customWidth="1"/>
    <col min="13007" max="13007" width="10.140625" style="66" customWidth="1"/>
    <col min="13008" max="13008" width="1" style="66" customWidth="1"/>
    <col min="13009" max="13011" width="3.28515625" style="66" customWidth="1"/>
    <col min="13012" max="13012" width="1.85546875" style="66" customWidth="1"/>
    <col min="13013" max="13013" width="17.85546875" style="66" customWidth="1"/>
    <col min="13014" max="13014" width="1.85546875" style="66" customWidth="1"/>
    <col min="13015" max="13017" width="3.28515625" style="66" customWidth="1"/>
    <col min="13018" max="13018" width="2.85546875" style="66" customWidth="1"/>
    <col min="13019" max="13019" width="1.85546875" style="66" customWidth="1"/>
    <col min="13020" max="13020" width="19.7109375" style="66" customWidth="1"/>
    <col min="13021" max="13021" width="1.85546875" style="66" customWidth="1"/>
    <col min="13022" max="13024" width="3" style="66" customWidth="1"/>
    <col min="13025" max="13025" width="4.42578125" style="66" customWidth="1"/>
    <col min="13026" max="13027" width="3" style="66" customWidth="1"/>
    <col min="13028" max="13033" width="3.28515625" style="66" customWidth="1"/>
    <col min="13034" max="13035" width="9.140625" style="66" customWidth="1"/>
    <col min="13036" max="13039" width="3.28515625" style="66" customWidth="1"/>
    <col min="13040" max="13040" width="4.140625" style="66" customWidth="1"/>
    <col min="13041" max="13041" width="1.7109375" style="66" customWidth="1"/>
    <col min="13042" max="13046" width="3.28515625" style="66" customWidth="1"/>
    <col min="13047" max="13047" width="1.7109375" style="66" customWidth="1"/>
    <col min="13048" max="13052" width="3.28515625" style="66" customWidth="1"/>
    <col min="13053" max="13058" width="9.140625" style="66" customWidth="1"/>
    <col min="13059" max="13059" width="1.7109375" style="66" customWidth="1"/>
    <col min="13060" max="13064" width="3.28515625" style="66" customWidth="1"/>
    <col min="13065" max="13065" width="1.7109375" style="66" customWidth="1"/>
    <col min="13066" max="13066" width="16.5703125" style="66" bestFit="1" customWidth="1"/>
    <col min="13067" max="13068" width="10.28515625" style="66" customWidth="1"/>
    <col min="13069" max="13069" width="18" style="66" bestFit="1" customWidth="1"/>
    <col min="13070" max="13254" width="9.140625" style="66"/>
    <col min="13255" max="13262" width="9.140625" style="66" customWidth="1"/>
    <col min="13263" max="13263" width="10.140625" style="66" customWidth="1"/>
    <col min="13264" max="13264" width="1" style="66" customWidth="1"/>
    <col min="13265" max="13267" width="3.28515625" style="66" customWidth="1"/>
    <col min="13268" max="13268" width="1.85546875" style="66" customWidth="1"/>
    <col min="13269" max="13269" width="17.85546875" style="66" customWidth="1"/>
    <col min="13270" max="13270" width="1.85546875" style="66" customWidth="1"/>
    <col min="13271" max="13273" width="3.28515625" style="66" customWidth="1"/>
    <col min="13274" max="13274" width="2.85546875" style="66" customWidth="1"/>
    <col min="13275" max="13275" width="1.85546875" style="66" customWidth="1"/>
    <col min="13276" max="13276" width="19.7109375" style="66" customWidth="1"/>
    <col min="13277" max="13277" width="1.85546875" style="66" customWidth="1"/>
    <col min="13278" max="13280" width="3" style="66" customWidth="1"/>
    <col min="13281" max="13281" width="4.42578125" style="66" customWidth="1"/>
    <col min="13282" max="13283" width="3" style="66" customWidth="1"/>
    <col min="13284" max="13289" width="3.28515625" style="66" customWidth="1"/>
    <col min="13290" max="13291" width="9.140625" style="66" customWidth="1"/>
    <col min="13292" max="13295" width="3.28515625" style="66" customWidth="1"/>
    <col min="13296" max="13296" width="4.140625" style="66" customWidth="1"/>
    <col min="13297" max="13297" width="1.7109375" style="66" customWidth="1"/>
    <col min="13298" max="13302" width="3.28515625" style="66" customWidth="1"/>
    <col min="13303" max="13303" width="1.7109375" style="66" customWidth="1"/>
    <col min="13304" max="13308" width="3.28515625" style="66" customWidth="1"/>
    <col min="13309" max="13314" width="9.140625" style="66" customWidth="1"/>
    <col min="13315" max="13315" width="1.7109375" style="66" customWidth="1"/>
    <col min="13316" max="13320" width="3.28515625" style="66" customWidth="1"/>
    <col min="13321" max="13321" width="1.7109375" style="66" customWidth="1"/>
    <col min="13322" max="13322" width="16.5703125" style="66" bestFit="1" customWidth="1"/>
    <col min="13323" max="13324" width="10.28515625" style="66" customWidth="1"/>
    <col min="13325" max="13325" width="18" style="66" bestFit="1" customWidth="1"/>
    <col min="13326" max="13510" width="9.140625" style="66"/>
    <col min="13511" max="13518" width="9.140625" style="66" customWidth="1"/>
    <col min="13519" max="13519" width="10.140625" style="66" customWidth="1"/>
    <col min="13520" max="13520" width="1" style="66" customWidth="1"/>
    <col min="13521" max="13523" width="3.28515625" style="66" customWidth="1"/>
    <col min="13524" max="13524" width="1.85546875" style="66" customWidth="1"/>
    <col min="13525" max="13525" width="17.85546875" style="66" customWidth="1"/>
    <col min="13526" max="13526" width="1.85546875" style="66" customWidth="1"/>
    <col min="13527" max="13529" width="3.28515625" style="66" customWidth="1"/>
    <col min="13530" max="13530" width="2.85546875" style="66" customWidth="1"/>
    <col min="13531" max="13531" width="1.85546875" style="66" customWidth="1"/>
    <col min="13532" max="13532" width="19.7109375" style="66" customWidth="1"/>
    <col min="13533" max="13533" width="1.85546875" style="66" customWidth="1"/>
    <col min="13534" max="13536" width="3" style="66" customWidth="1"/>
    <col min="13537" max="13537" width="4.42578125" style="66" customWidth="1"/>
    <col min="13538" max="13539" width="3" style="66" customWidth="1"/>
    <col min="13540" max="13545" width="3.28515625" style="66" customWidth="1"/>
    <col min="13546" max="13547" width="9.140625" style="66" customWidth="1"/>
    <col min="13548" max="13551" width="3.28515625" style="66" customWidth="1"/>
    <col min="13552" max="13552" width="4.140625" style="66" customWidth="1"/>
    <col min="13553" max="13553" width="1.7109375" style="66" customWidth="1"/>
    <col min="13554" max="13558" width="3.28515625" style="66" customWidth="1"/>
    <col min="13559" max="13559" width="1.7109375" style="66" customWidth="1"/>
    <col min="13560" max="13564" width="3.28515625" style="66" customWidth="1"/>
    <col min="13565" max="13570" width="9.140625" style="66" customWidth="1"/>
    <col min="13571" max="13571" width="1.7109375" style="66" customWidth="1"/>
    <col min="13572" max="13576" width="3.28515625" style="66" customWidth="1"/>
    <col min="13577" max="13577" width="1.7109375" style="66" customWidth="1"/>
    <col min="13578" max="13578" width="16.5703125" style="66" bestFit="1" customWidth="1"/>
    <col min="13579" max="13580" width="10.28515625" style="66" customWidth="1"/>
    <col min="13581" max="13581" width="18" style="66" bestFit="1" customWidth="1"/>
    <col min="13582" max="13766" width="9.140625" style="66"/>
    <col min="13767" max="13774" width="9.140625" style="66" customWidth="1"/>
    <col min="13775" max="13775" width="10.140625" style="66" customWidth="1"/>
    <col min="13776" max="13776" width="1" style="66" customWidth="1"/>
    <col min="13777" max="13779" width="3.28515625" style="66" customWidth="1"/>
    <col min="13780" max="13780" width="1.85546875" style="66" customWidth="1"/>
    <col min="13781" max="13781" width="17.85546875" style="66" customWidth="1"/>
    <col min="13782" max="13782" width="1.85546875" style="66" customWidth="1"/>
    <col min="13783" max="13785" width="3.28515625" style="66" customWidth="1"/>
    <col min="13786" max="13786" width="2.85546875" style="66" customWidth="1"/>
    <col min="13787" max="13787" width="1.85546875" style="66" customWidth="1"/>
    <col min="13788" max="13788" width="19.7109375" style="66" customWidth="1"/>
    <col min="13789" max="13789" width="1.85546875" style="66" customWidth="1"/>
    <col min="13790" max="13792" width="3" style="66" customWidth="1"/>
    <col min="13793" max="13793" width="4.42578125" style="66" customWidth="1"/>
    <col min="13794" max="13795" width="3" style="66" customWidth="1"/>
    <col min="13796" max="13801" width="3.28515625" style="66" customWidth="1"/>
    <col min="13802" max="13803" width="9.140625" style="66" customWidth="1"/>
    <col min="13804" max="13807" width="3.28515625" style="66" customWidth="1"/>
    <col min="13808" max="13808" width="4.140625" style="66" customWidth="1"/>
    <col min="13809" max="13809" width="1.7109375" style="66" customWidth="1"/>
    <col min="13810" max="13814" width="3.28515625" style="66" customWidth="1"/>
    <col min="13815" max="13815" width="1.7109375" style="66" customWidth="1"/>
    <col min="13816" max="13820" width="3.28515625" style="66" customWidth="1"/>
    <col min="13821" max="13826" width="9.140625" style="66" customWidth="1"/>
    <col min="13827" max="13827" width="1.7109375" style="66" customWidth="1"/>
    <col min="13828" max="13832" width="3.28515625" style="66" customWidth="1"/>
    <col min="13833" max="13833" width="1.7109375" style="66" customWidth="1"/>
    <col min="13834" max="13834" width="16.5703125" style="66" bestFit="1" customWidth="1"/>
    <col min="13835" max="13836" width="10.28515625" style="66" customWidth="1"/>
    <col min="13837" max="13837" width="18" style="66" bestFit="1" customWidth="1"/>
    <col min="13838" max="14022" width="9.140625" style="66"/>
    <col min="14023" max="14030" width="9.140625" style="66" customWidth="1"/>
    <col min="14031" max="14031" width="10.140625" style="66" customWidth="1"/>
    <col min="14032" max="14032" width="1" style="66" customWidth="1"/>
    <col min="14033" max="14035" width="3.28515625" style="66" customWidth="1"/>
    <col min="14036" max="14036" width="1.85546875" style="66" customWidth="1"/>
    <col min="14037" max="14037" width="17.85546875" style="66" customWidth="1"/>
    <col min="14038" max="14038" width="1.85546875" style="66" customWidth="1"/>
    <col min="14039" max="14041" width="3.28515625" style="66" customWidth="1"/>
    <col min="14042" max="14042" width="2.85546875" style="66" customWidth="1"/>
    <col min="14043" max="14043" width="1.85546875" style="66" customWidth="1"/>
    <col min="14044" max="14044" width="19.7109375" style="66" customWidth="1"/>
    <col min="14045" max="14045" width="1.85546875" style="66" customWidth="1"/>
    <col min="14046" max="14048" width="3" style="66" customWidth="1"/>
    <col min="14049" max="14049" width="4.42578125" style="66" customWidth="1"/>
    <col min="14050" max="14051" width="3" style="66" customWidth="1"/>
    <col min="14052" max="14057" width="3.28515625" style="66" customWidth="1"/>
    <col min="14058" max="14059" width="9.140625" style="66" customWidth="1"/>
    <col min="14060" max="14063" width="3.28515625" style="66" customWidth="1"/>
    <col min="14064" max="14064" width="4.140625" style="66" customWidth="1"/>
    <col min="14065" max="14065" width="1.7109375" style="66" customWidth="1"/>
    <col min="14066" max="14070" width="3.28515625" style="66" customWidth="1"/>
    <col min="14071" max="14071" width="1.7109375" style="66" customWidth="1"/>
    <col min="14072" max="14076" width="3.28515625" style="66" customWidth="1"/>
    <col min="14077" max="14082" width="9.140625" style="66" customWidth="1"/>
    <col min="14083" max="14083" width="1.7109375" style="66" customWidth="1"/>
    <col min="14084" max="14088" width="3.28515625" style="66" customWidth="1"/>
    <col min="14089" max="14089" width="1.7109375" style="66" customWidth="1"/>
    <col min="14090" max="14090" width="16.5703125" style="66" bestFit="1" customWidth="1"/>
    <col min="14091" max="14092" width="10.28515625" style="66" customWidth="1"/>
    <col min="14093" max="14093" width="18" style="66" bestFit="1" customWidth="1"/>
    <col min="14094" max="14278" width="9.140625" style="66"/>
    <col min="14279" max="14286" width="9.140625" style="66" customWidth="1"/>
    <col min="14287" max="14287" width="10.140625" style="66" customWidth="1"/>
    <col min="14288" max="14288" width="1" style="66" customWidth="1"/>
    <col min="14289" max="14291" width="3.28515625" style="66" customWidth="1"/>
    <col min="14292" max="14292" width="1.85546875" style="66" customWidth="1"/>
    <col min="14293" max="14293" width="17.85546875" style="66" customWidth="1"/>
    <col min="14294" max="14294" width="1.85546875" style="66" customWidth="1"/>
    <col min="14295" max="14297" width="3.28515625" style="66" customWidth="1"/>
    <col min="14298" max="14298" width="2.85546875" style="66" customWidth="1"/>
    <col min="14299" max="14299" width="1.85546875" style="66" customWidth="1"/>
    <col min="14300" max="14300" width="19.7109375" style="66" customWidth="1"/>
    <col min="14301" max="14301" width="1.85546875" style="66" customWidth="1"/>
    <col min="14302" max="14304" width="3" style="66" customWidth="1"/>
    <col min="14305" max="14305" width="4.42578125" style="66" customWidth="1"/>
    <col min="14306" max="14307" width="3" style="66" customWidth="1"/>
    <col min="14308" max="14313" width="3.28515625" style="66" customWidth="1"/>
    <col min="14314" max="14315" width="9.140625" style="66" customWidth="1"/>
    <col min="14316" max="14319" width="3.28515625" style="66" customWidth="1"/>
    <col min="14320" max="14320" width="4.140625" style="66" customWidth="1"/>
    <col min="14321" max="14321" width="1.7109375" style="66" customWidth="1"/>
    <col min="14322" max="14326" width="3.28515625" style="66" customWidth="1"/>
    <col min="14327" max="14327" width="1.7109375" style="66" customWidth="1"/>
    <col min="14328" max="14332" width="3.28515625" style="66" customWidth="1"/>
    <col min="14333" max="14338" width="9.140625" style="66" customWidth="1"/>
    <col min="14339" max="14339" width="1.7109375" style="66" customWidth="1"/>
    <col min="14340" max="14344" width="3.28515625" style="66" customWidth="1"/>
    <col min="14345" max="14345" width="1.7109375" style="66" customWidth="1"/>
    <col min="14346" max="14346" width="16.5703125" style="66" bestFit="1" customWidth="1"/>
    <col min="14347" max="14348" width="10.28515625" style="66" customWidth="1"/>
    <col min="14349" max="14349" width="18" style="66" bestFit="1" customWidth="1"/>
    <col min="14350" max="14534" width="9.140625" style="66"/>
    <col min="14535" max="14542" width="9.140625" style="66" customWidth="1"/>
    <col min="14543" max="14543" width="10.140625" style="66" customWidth="1"/>
    <col min="14544" max="14544" width="1" style="66" customWidth="1"/>
    <col min="14545" max="14547" width="3.28515625" style="66" customWidth="1"/>
    <col min="14548" max="14548" width="1.85546875" style="66" customWidth="1"/>
    <col min="14549" max="14549" width="17.85546875" style="66" customWidth="1"/>
    <col min="14550" max="14550" width="1.85546875" style="66" customWidth="1"/>
    <col min="14551" max="14553" width="3.28515625" style="66" customWidth="1"/>
    <col min="14554" max="14554" width="2.85546875" style="66" customWidth="1"/>
    <col min="14555" max="14555" width="1.85546875" style="66" customWidth="1"/>
    <col min="14556" max="14556" width="19.7109375" style="66" customWidth="1"/>
    <col min="14557" max="14557" width="1.85546875" style="66" customWidth="1"/>
    <col min="14558" max="14560" width="3" style="66" customWidth="1"/>
    <col min="14561" max="14561" width="4.42578125" style="66" customWidth="1"/>
    <col min="14562" max="14563" width="3" style="66" customWidth="1"/>
    <col min="14564" max="14569" width="3.28515625" style="66" customWidth="1"/>
    <col min="14570" max="14571" width="9.140625" style="66" customWidth="1"/>
    <col min="14572" max="14575" width="3.28515625" style="66" customWidth="1"/>
    <col min="14576" max="14576" width="4.140625" style="66" customWidth="1"/>
    <col min="14577" max="14577" width="1.7109375" style="66" customWidth="1"/>
    <col min="14578" max="14582" width="3.28515625" style="66" customWidth="1"/>
    <col min="14583" max="14583" width="1.7109375" style="66" customWidth="1"/>
    <col min="14584" max="14588" width="3.28515625" style="66" customWidth="1"/>
    <col min="14589" max="14594" width="9.140625" style="66" customWidth="1"/>
    <col min="14595" max="14595" width="1.7109375" style="66" customWidth="1"/>
    <col min="14596" max="14600" width="3.28515625" style="66" customWidth="1"/>
    <col min="14601" max="14601" width="1.7109375" style="66" customWidth="1"/>
    <col min="14602" max="14602" width="16.5703125" style="66" bestFit="1" customWidth="1"/>
    <col min="14603" max="14604" width="10.28515625" style="66" customWidth="1"/>
    <col min="14605" max="14605" width="18" style="66" bestFit="1" customWidth="1"/>
    <col min="14606" max="14790" width="9.140625" style="66"/>
    <col min="14791" max="14798" width="9.140625" style="66" customWidth="1"/>
    <col min="14799" max="14799" width="10.140625" style="66" customWidth="1"/>
    <col min="14800" max="14800" width="1" style="66" customWidth="1"/>
    <col min="14801" max="14803" width="3.28515625" style="66" customWidth="1"/>
    <col min="14804" max="14804" width="1.85546875" style="66" customWidth="1"/>
    <col min="14805" max="14805" width="17.85546875" style="66" customWidth="1"/>
    <col min="14806" max="14806" width="1.85546875" style="66" customWidth="1"/>
    <col min="14807" max="14809" width="3.28515625" style="66" customWidth="1"/>
    <col min="14810" max="14810" width="2.85546875" style="66" customWidth="1"/>
    <col min="14811" max="14811" width="1.85546875" style="66" customWidth="1"/>
    <col min="14812" max="14812" width="19.7109375" style="66" customWidth="1"/>
    <col min="14813" max="14813" width="1.85546875" style="66" customWidth="1"/>
    <col min="14814" max="14816" width="3" style="66" customWidth="1"/>
    <col min="14817" max="14817" width="4.42578125" style="66" customWidth="1"/>
    <col min="14818" max="14819" width="3" style="66" customWidth="1"/>
    <col min="14820" max="14825" width="3.28515625" style="66" customWidth="1"/>
    <col min="14826" max="14827" width="9.140625" style="66" customWidth="1"/>
    <col min="14828" max="14831" width="3.28515625" style="66" customWidth="1"/>
    <col min="14832" max="14832" width="4.140625" style="66" customWidth="1"/>
    <col min="14833" max="14833" width="1.7109375" style="66" customWidth="1"/>
    <col min="14834" max="14838" width="3.28515625" style="66" customWidth="1"/>
    <col min="14839" max="14839" width="1.7109375" style="66" customWidth="1"/>
    <col min="14840" max="14844" width="3.28515625" style="66" customWidth="1"/>
    <col min="14845" max="14850" width="9.140625" style="66" customWidth="1"/>
    <col min="14851" max="14851" width="1.7109375" style="66" customWidth="1"/>
    <col min="14852" max="14856" width="3.28515625" style="66" customWidth="1"/>
    <col min="14857" max="14857" width="1.7109375" style="66" customWidth="1"/>
    <col min="14858" max="14858" width="16.5703125" style="66" bestFit="1" customWidth="1"/>
    <col min="14859" max="14860" width="10.28515625" style="66" customWidth="1"/>
    <col min="14861" max="14861" width="18" style="66" bestFit="1" customWidth="1"/>
    <col min="14862" max="15046" width="9.140625" style="66"/>
    <col min="15047" max="15054" width="9.140625" style="66" customWidth="1"/>
    <col min="15055" max="15055" width="10.140625" style="66" customWidth="1"/>
    <col min="15056" max="15056" width="1" style="66" customWidth="1"/>
    <col min="15057" max="15059" width="3.28515625" style="66" customWidth="1"/>
    <col min="15060" max="15060" width="1.85546875" style="66" customWidth="1"/>
    <col min="15061" max="15061" width="17.85546875" style="66" customWidth="1"/>
    <col min="15062" max="15062" width="1.85546875" style="66" customWidth="1"/>
    <col min="15063" max="15065" width="3.28515625" style="66" customWidth="1"/>
    <col min="15066" max="15066" width="2.85546875" style="66" customWidth="1"/>
    <col min="15067" max="15067" width="1.85546875" style="66" customWidth="1"/>
    <col min="15068" max="15068" width="19.7109375" style="66" customWidth="1"/>
    <col min="15069" max="15069" width="1.85546875" style="66" customWidth="1"/>
    <col min="15070" max="15072" width="3" style="66" customWidth="1"/>
    <col min="15073" max="15073" width="4.42578125" style="66" customWidth="1"/>
    <col min="15074" max="15075" width="3" style="66" customWidth="1"/>
    <col min="15076" max="15081" width="3.28515625" style="66" customWidth="1"/>
    <col min="15082" max="15083" width="9.140625" style="66" customWidth="1"/>
    <col min="15084" max="15087" width="3.28515625" style="66" customWidth="1"/>
    <col min="15088" max="15088" width="4.140625" style="66" customWidth="1"/>
    <col min="15089" max="15089" width="1.7109375" style="66" customWidth="1"/>
    <col min="15090" max="15094" width="3.28515625" style="66" customWidth="1"/>
    <col min="15095" max="15095" width="1.7109375" style="66" customWidth="1"/>
    <col min="15096" max="15100" width="3.28515625" style="66" customWidth="1"/>
    <col min="15101" max="15106" width="9.140625" style="66" customWidth="1"/>
    <col min="15107" max="15107" width="1.7109375" style="66" customWidth="1"/>
    <col min="15108" max="15112" width="3.28515625" style="66" customWidth="1"/>
    <col min="15113" max="15113" width="1.7109375" style="66" customWidth="1"/>
    <col min="15114" max="15114" width="16.5703125" style="66" bestFit="1" customWidth="1"/>
    <col min="15115" max="15116" width="10.28515625" style="66" customWidth="1"/>
    <col min="15117" max="15117" width="18" style="66" bestFit="1" customWidth="1"/>
    <col min="15118" max="15302" width="9.140625" style="66"/>
    <col min="15303" max="15310" width="9.140625" style="66" customWidth="1"/>
    <col min="15311" max="15311" width="10.140625" style="66" customWidth="1"/>
    <col min="15312" max="15312" width="1" style="66" customWidth="1"/>
    <col min="15313" max="15315" width="3.28515625" style="66" customWidth="1"/>
    <col min="15316" max="15316" width="1.85546875" style="66" customWidth="1"/>
    <col min="15317" max="15317" width="17.85546875" style="66" customWidth="1"/>
    <col min="15318" max="15318" width="1.85546875" style="66" customWidth="1"/>
    <col min="15319" max="15321" width="3.28515625" style="66" customWidth="1"/>
    <col min="15322" max="15322" width="2.85546875" style="66" customWidth="1"/>
    <col min="15323" max="15323" width="1.85546875" style="66" customWidth="1"/>
    <col min="15324" max="15324" width="19.7109375" style="66" customWidth="1"/>
    <col min="15325" max="15325" width="1.85546875" style="66" customWidth="1"/>
    <col min="15326" max="15328" width="3" style="66" customWidth="1"/>
    <col min="15329" max="15329" width="4.42578125" style="66" customWidth="1"/>
    <col min="15330" max="15331" width="3" style="66" customWidth="1"/>
    <col min="15332" max="15337" width="3.28515625" style="66" customWidth="1"/>
    <col min="15338" max="15339" width="9.140625" style="66" customWidth="1"/>
    <col min="15340" max="15343" width="3.28515625" style="66" customWidth="1"/>
    <col min="15344" max="15344" width="4.140625" style="66" customWidth="1"/>
    <col min="15345" max="15345" width="1.7109375" style="66" customWidth="1"/>
    <col min="15346" max="15350" width="3.28515625" style="66" customWidth="1"/>
    <col min="15351" max="15351" width="1.7109375" style="66" customWidth="1"/>
    <col min="15352" max="15356" width="3.28515625" style="66" customWidth="1"/>
    <col min="15357" max="15362" width="9.140625" style="66" customWidth="1"/>
    <col min="15363" max="15363" width="1.7109375" style="66" customWidth="1"/>
    <col min="15364" max="15368" width="3.28515625" style="66" customWidth="1"/>
    <col min="15369" max="15369" width="1.7109375" style="66" customWidth="1"/>
    <col min="15370" max="15370" width="16.5703125" style="66" bestFit="1" customWidth="1"/>
    <col min="15371" max="15372" width="10.28515625" style="66" customWidth="1"/>
    <col min="15373" max="15373" width="18" style="66" bestFit="1" customWidth="1"/>
    <col min="15374" max="15558" width="9.140625" style="66"/>
    <col min="15559" max="15566" width="9.140625" style="66" customWidth="1"/>
    <col min="15567" max="15567" width="10.140625" style="66" customWidth="1"/>
    <col min="15568" max="15568" width="1" style="66" customWidth="1"/>
    <col min="15569" max="15571" width="3.28515625" style="66" customWidth="1"/>
    <col min="15572" max="15572" width="1.85546875" style="66" customWidth="1"/>
    <col min="15573" max="15573" width="17.85546875" style="66" customWidth="1"/>
    <col min="15574" max="15574" width="1.85546875" style="66" customWidth="1"/>
    <col min="15575" max="15577" width="3.28515625" style="66" customWidth="1"/>
    <col min="15578" max="15578" width="2.85546875" style="66" customWidth="1"/>
    <col min="15579" max="15579" width="1.85546875" style="66" customWidth="1"/>
    <col min="15580" max="15580" width="19.7109375" style="66" customWidth="1"/>
    <col min="15581" max="15581" width="1.85546875" style="66" customWidth="1"/>
    <col min="15582" max="15584" width="3" style="66" customWidth="1"/>
    <col min="15585" max="15585" width="4.42578125" style="66" customWidth="1"/>
    <col min="15586" max="15587" width="3" style="66" customWidth="1"/>
    <col min="15588" max="15593" width="3.28515625" style="66" customWidth="1"/>
    <col min="15594" max="15595" width="9.140625" style="66" customWidth="1"/>
    <col min="15596" max="15599" width="3.28515625" style="66" customWidth="1"/>
    <col min="15600" max="15600" width="4.140625" style="66" customWidth="1"/>
    <col min="15601" max="15601" width="1.7109375" style="66" customWidth="1"/>
    <col min="15602" max="15606" width="3.28515625" style="66" customWidth="1"/>
    <col min="15607" max="15607" width="1.7109375" style="66" customWidth="1"/>
    <col min="15608" max="15612" width="3.28515625" style="66" customWidth="1"/>
    <col min="15613" max="15618" width="9.140625" style="66" customWidth="1"/>
    <col min="15619" max="15619" width="1.7109375" style="66" customWidth="1"/>
    <col min="15620" max="15624" width="3.28515625" style="66" customWidth="1"/>
    <col min="15625" max="15625" width="1.7109375" style="66" customWidth="1"/>
    <col min="15626" max="15626" width="16.5703125" style="66" bestFit="1" customWidth="1"/>
    <col min="15627" max="15628" width="10.28515625" style="66" customWidth="1"/>
    <col min="15629" max="15629" width="18" style="66" bestFit="1" customWidth="1"/>
    <col min="15630" max="15814" width="9.140625" style="66"/>
    <col min="15815" max="15822" width="9.140625" style="66" customWidth="1"/>
    <col min="15823" max="15823" width="10.140625" style="66" customWidth="1"/>
    <col min="15824" max="15824" width="1" style="66" customWidth="1"/>
    <col min="15825" max="15827" width="3.28515625" style="66" customWidth="1"/>
    <col min="15828" max="15828" width="1.85546875" style="66" customWidth="1"/>
    <col min="15829" max="15829" width="17.85546875" style="66" customWidth="1"/>
    <col min="15830" max="15830" width="1.85546875" style="66" customWidth="1"/>
    <col min="15831" max="15833" width="3.28515625" style="66" customWidth="1"/>
    <col min="15834" max="15834" width="2.85546875" style="66" customWidth="1"/>
    <col min="15835" max="15835" width="1.85546875" style="66" customWidth="1"/>
    <col min="15836" max="15836" width="19.7109375" style="66" customWidth="1"/>
    <col min="15837" max="15837" width="1.85546875" style="66" customWidth="1"/>
    <col min="15838" max="15840" width="3" style="66" customWidth="1"/>
    <col min="15841" max="15841" width="4.42578125" style="66" customWidth="1"/>
    <col min="15842" max="15843" width="3" style="66" customWidth="1"/>
    <col min="15844" max="15849" width="3.28515625" style="66" customWidth="1"/>
    <col min="15850" max="15851" width="9.140625" style="66" customWidth="1"/>
    <col min="15852" max="15855" width="3.28515625" style="66" customWidth="1"/>
    <col min="15856" max="15856" width="4.140625" style="66" customWidth="1"/>
    <col min="15857" max="15857" width="1.7109375" style="66" customWidth="1"/>
    <col min="15858" max="15862" width="3.28515625" style="66" customWidth="1"/>
    <col min="15863" max="15863" width="1.7109375" style="66" customWidth="1"/>
    <col min="15864" max="15868" width="3.28515625" style="66" customWidth="1"/>
    <col min="15869" max="15874" width="9.140625" style="66" customWidth="1"/>
    <col min="15875" max="15875" width="1.7109375" style="66" customWidth="1"/>
    <col min="15876" max="15880" width="3.28515625" style="66" customWidth="1"/>
    <col min="15881" max="15881" width="1.7109375" style="66" customWidth="1"/>
    <col min="15882" max="15882" width="16.5703125" style="66" bestFit="1" customWidth="1"/>
    <col min="15883" max="15884" width="10.28515625" style="66" customWidth="1"/>
    <col min="15885" max="15885" width="18" style="66" bestFit="1" customWidth="1"/>
    <col min="15886" max="16070" width="9.140625" style="66"/>
    <col min="16071" max="16078" width="9.140625" style="66" customWidth="1"/>
    <col min="16079" max="16079" width="10.140625" style="66" customWidth="1"/>
    <col min="16080" max="16080" width="1" style="66" customWidth="1"/>
    <col min="16081" max="16083" width="3.28515625" style="66" customWidth="1"/>
    <col min="16084" max="16084" width="1.85546875" style="66" customWidth="1"/>
    <col min="16085" max="16085" width="17.85546875" style="66" customWidth="1"/>
    <col min="16086" max="16086" width="1.85546875" style="66" customWidth="1"/>
    <col min="16087" max="16089" width="3.28515625" style="66" customWidth="1"/>
    <col min="16090" max="16090" width="2.85546875" style="66" customWidth="1"/>
    <col min="16091" max="16091" width="1.85546875" style="66" customWidth="1"/>
    <col min="16092" max="16092" width="19.7109375" style="66" customWidth="1"/>
    <col min="16093" max="16093" width="1.85546875" style="66" customWidth="1"/>
    <col min="16094" max="16096" width="3" style="66" customWidth="1"/>
    <col min="16097" max="16097" width="4.42578125" style="66" customWidth="1"/>
    <col min="16098" max="16099" width="3" style="66" customWidth="1"/>
    <col min="16100" max="16105" width="3.28515625" style="66" customWidth="1"/>
    <col min="16106" max="16107" width="9.140625" style="66" customWidth="1"/>
    <col min="16108" max="16111" width="3.28515625" style="66" customWidth="1"/>
    <col min="16112" max="16112" width="4.140625" style="66" customWidth="1"/>
    <col min="16113" max="16113" width="1.7109375" style="66" customWidth="1"/>
    <col min="16114" max="16118" width="3.28515625" style="66" customWidth="1"/>
    <col min="16119" max="16119" width="1.7109375" style="66" customWidth="1"/>
    <col min="16120" max="16124" width="3.28515625" style="66" customWidth="1"/>
    <col min="16125" max="16130" width="9.140625" style="66" customWidth="1"/>
    <col min="16131" max="16131" width="1.7109375" style="66" customWidth="1"/>
    <col min="16132" max="16136" width="3.28515625" style="66" customWidth="1"/>
    <col min="16137" max="16137" width="1.7109375" style="66" customWidth="1"/>
    <col min="16138" max="16138" width="16.5703125" style="66" bestFit="1" customWidth="1"/>
    <col min="16139" max="16140" width="10.28515625" style="66" customWidth="1"/>
    <col min="16141" max="16141" width="18" style="66" bestFit="1" customWidth="1"/>
    <col min="16142" max="16384" width="9.140625" style="66"/>
  </cols>
  <sheetData>
    <row r="1" spans="1:29" ht="91.15" customHeight="1">
      <c r="C1" s="67"/>
      <c r="D1" s="557"/>
      <c r="E1" s="69"/>
      <c r="F1" s="556"/>
      <c r="G1" s="556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554"/>
    </row>
    <row r="2" spans="1:29" ht="91.15" customHeight="1">
      <c r="C2" s="67"/>
      <c r="D2" s="557"/>
      <c r="E2" s="67"/>
      <c r="F2" s="555"/>
      <c r="G2" s="555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554"/>
    </row>
    <row r="3" spans="1:29" ht="91.15" customHeight="1">
      <c r="C3" s="67"/>
      <c r="D3" s="557"/>
      <c r="E3" s="67"/>
      <c r="F3" s="555"/>
      <c r="G3" s="555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554"/>
    </row>
    <row r="4" spans="1:29" ht="21.75" customHeight="1" thickBot="1">
      <c r="A4" s="559"/>
      <c r="B4" s="559"/>
      <c r="C4" s="559"/>
      <c r="D4" s="557" t="s">
        <v>4200</v>
      </c>
      <c r="E4" s="559"/>
      <c r="F4" s="560"/>
      <c r="G4" s="560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Y4" s="561"/>
      <c r="Z4" s="561"/>
      <c r="AA4" s="561"/>
      <c r="AB4" s="561"/>
    </row>
    <row r="5" spans="1:29" ht="51.75" customHeight="1" thickBot="1">
      <c r="A5" s="562" t="s">
        <v>1502</v>
      </c>
      <c r="B5" s="563" t="s">
        <v>1503</v>
      </c>
      <c r="C5" s="564" t="s">
        <v>1504</v>
      </c>
      <c r="D5" s="565" t="s">
        <v>3455</v>
      </c>
      <c r="E5" s="566" t="s">
        <v>4201</v>
      </c>
      <c r="F5" s="567"/>
      <c r="G5" s="568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</row>
    <row r="6" spans="1:29" s="576" customFormat="1" ht="24.95" customHeight="1">
      <c r="A6" s="570"/>
      <c r="B6" s="571" t="s">
        <v>4202</v>
      </c>
      <c r="C6" s="572" t="s">
        <v>4203</v>
      </c>
      <c r="D6" s="573">
        <f>+D7+D34+D71</f>
        <v>32398864</v>
      </c>
      <c r="E6" s="573">
        <f>+E7+E34+E71</f>
        <v>30992005</v>
      </c>
      <c r="F6" s="574"/>
      <c r="G6" s="575"/>
      <c r="J6" s="577"/>
    </row>
    <row r="7" spans="1:29" s="576" customFormat="1" ht="24.95" customHeight="1">
      <c r="A7" s="578"/>
      <c r="B7" s="579" t="s">
        <v>4204</v>
      </c>
      <c r="C7" s="580" t="s">
        <v>4205</v>
      </c>
      <c r="D7" s="581">
        <f>+D8+D11+D14+D19+D20-D29</f>
        <v>39205</v>
      </c>
      <c r="E7" s="581">
        <f>+E8+E11+E14+E19+E20-E29</f>
        <v>54573</v>
      </c>
      <c r="F7" s="582"/>
      <c r="G7" s="575"/>
      <c r="J7" s="577"/>
    </row>
    <row r="8" spans="1:29" s="587" customFormat="1" ht="24.95" customHeight="1">
      <c r="A8" s="583"/>
      <c r="B8" s="584" t="s">
        <v>4206</v>
      </c>
      <c r="C8" s="585" t="s">
        <v>4207</v>
      </c>
      <c r="D8" s="586">
        <f>+D9-D10</f>
        <v>0</v>
      </c>
      <c r="E8" s="586">
        <f>+E9-E10</f>
        <v>0</v>
      </c>
      <c r="F8" s="574"/>
      <c r="G8" s="575"/>
      <c r="J8" s="577"/>
      <c r="K8" s="576"/>
    </row>
    <row r="9" spans="1:29" s="593" customFormat="1" ht="24.95" customHeight="1">
      <c r="A9" s="588"/>
      <c r="B9" s="589" t="s">
        <v>3935</v>
      </c>
      <c r="C9" s="590" t="s">
        <v>4208</v>
      </c>
      <c r="D9" s="591">
        <f>+'SP Attivo Alim'!I4</f>
        <v>0</v>
      </c>
      <c r="E9" s="591">
        <f>+'SP Attivo Alim'!J4</f>
        <v>0</v>
      </c>
      <c r="F9" s="574"/>
      <c r="G9" s="592"/>
      <c r="J9" s="577">
        <f>+'SP Attivo Alim'!I18</f>
        <v>0</v>
      </c>
      <c r="K9" s="576"/>
    </row>
    <row r="10" spans="1:29" s="593" customFormat="1" ht="24.95" customHeight="1">
      <c r="A10" s="588"/>
      <c r="B10" s="589" t="s">
        <v>3511</v>
      </c>
      <c r="C10" s="590" t="s">
        <v>4209</v>
      </c>
      <c r="D10" s="591">
        <f>+'Alimentazione SP P'!I33</f>
        <v>0</v>
      </c>
      <c r="E10" s="591">
        <f>+'Alimentazione SP P'!J33</f>
        <v>0</v>
      </c>
      <c r="F10" s="574"/>
      <c r="G10" s="592"/>
      <c r="J10" s="577"/>
      <c r="K10" s="576"/>
    </row>
    <row r="11" spans="1:29" s="593" customFormat="1" ht="24.95" customHeight="1">
      <c r="A11" s="594"/>
      <c r="B11" s="584" t="s">
        <v>4210</v>
      </c>
      <c r="C11" s="585" t="s">
        <v>4211</v>
      </c>
      <c r="D11" s="586">
        <f>+D12-D13</f>
        <v>0</v>
      </c>
      <c r="E11" s="586">
        <f>+E12-E13</f>
        <v>0</v>
      </c>
      <c r="F11" s="574"/>
      <c r="G11" s="592"/>
      <c r="J11" s="577"/>
      <c r="K11" s="576"/>
    </row>
    <row r="12" spans="1:29" s="593" customFormat="1" ht="24.95" customHeight="1">
      <c r="A12" s="588"/>
      <c r="B12" s="589" t="s">
        <v>3937</v>
      </c>
      <c r="C12" s="590" t="s">
        <v>4212</v>
      </c>
      <c r="D12" s="591">
        <f>+'SP Attivo Alim'!I5</f>
        <v>0</v>
      </c>
      <c r="E12" s="591">
        <f>+'SP Attivo Alim'!J5</f>
        <v>0</v>
      </c>
      <c r="F12" s="574"/>
      <c r="G12" s="592"/>
      <c r="J12" s="577"/>
      <c r="K12" s="576"/>
    </row>
    <row r="13" spans="1:29" s="593" customFormat="1" ht="24.95" customHeight="1">
      <c r="A13" s="588"/>
      <c r="B13" s="589" t="s">
        <v>3513</v>
      </c>
      <c r="C13" s="590" t="s">
        <v>4213</v>
      </c>
      <c r="D13" s="591">
        <f>+'Alimentazione SP P'!I34</f>
        <v>0</v>
      </c>
      <c r="E13" s="591">
        <f>+'Alimentazione SP P'!J34</f>
        <v>0</v>
      </c>
      <c r="F13" s="574"/>
      <c r="G13" s="592"/>
      <c r="J13" s="577"/>
      <c r="K13" s="576"/>
    </row>
    <row r="14" spans="1:29" s="593" customFormat="1" ht="24.95" customHeight="1">
      <c r="A14" s="594"/>
      <c r="B14" s="584" t="s">
        <v>4214</v>
      </c>
      <c r="C14" s="585" t="s">
        <v>4215</v>
      </c>
      <c r="D14" s="586">
        <f>+D15-D16+D17-D18</f>
        <v>0</v>
      </c>
      <c r="E14" s="586">
        <f>+E15-E16+E17-E18</f>
        <v>0</v>
      </c>
      <c r="F14" s="574"/>
      <c r="G14" s="592"/>
      <c r="J14" s="577"/>
      <c r="K14" s="576"/>
    </row>
    <row r="15" spans="1:29" s="593" customFormat="1" ht="34.5" customHeight="1">
      <c r="A15" s="588"/>
      <c r="B15" s="589" t="s">
        <v>3940</v>
      </c>
      <c r="C15" s="590" t="s">
        <v>4216</v>
      </c>
      <c r="D15" s="591">
        <f>+'SP Attivo Alim'!I7</f>
        <v>0</v>
      </c>
      <c r="E15" s="591">
        <f>+'SP Attivo Alim'!J7</f>
        <v>0</v>
      </c>
      <c r="F15" s="574"/>
      <c r="G15" s="592"/>
      <c r="J15" s="577"/>
      <c r="K15" s="576"/>
    </row>
    <row r="16" spans="1:29" s="593" customFormat="1" ht="34.5" customHeight="1">
      <c r="A16" s="588"/>
      <c r="B16" s="589" t="s">
        <v>3515</v>
      </c>
      <c r="C16" s="590" t="s">
        <v>4217</v>
      </c>
      <c r="D16" s="591">
        <f>+'Alimentazione SP P'!I35</f>
        <v>0</v>
      </c>
      <c r="E16" s="591">
        <f>+'Alimentazione SP P'!J35</f>
        <v>0</v>
      </c>
      <c r="F16" s="574"/>
      <c r="G16" s="592"/>
      <c r="J16" s="577"/>
      <c r="K16" s="576"/>
    </row>
    <row r="17" spans="1:11" s="593" customFormat="1" ht="34.5" customHeight="1">
      <c r="A17" s="588"/>
      <c r="B17" s="589" t="s">
        <v>3942</v>
      </c>
      <c r="C17" s="590" t="s">
        <v>4218</v>
      </c>
      <c r="D17" s="591">
        <f>+'SP Attivo Alim'!I8</f>
        <v>0</v>
      </c>
      <c r="E17" s="591">
        <f>+'SP Attivo Alim'!J8</f>
        <v>0</v>
      </c>
      <c r="F17" s="574"/>
      <c r="G17" s="592"/>
      <c r="J17" s="577"/>
      <c r="K17" s="576"/>
    </row>
    <row r="18" spans="1:11" s="593" customFormat="1" ht="34.5" customHeight="1">
      <c r="A18" s="588"/>
      <c r="B18" s="589" t="s">
        <v>3517</v>
      </c>
      <c r="C18" s="590" t="s">
        <v>4219</v>
      </c>
      <c r="D18" s="591">
        <f>+'Alimentazione SP P'!I36</f>
        <v>0</v>
      </c>
      <c r="E18" s="591">
        <f>+'Alimentazione SP P'!J36</f>
        <v>0</v>
      </c>
      <c r="F18" s="574"/>
      <c r="G18" s="592"/>
      <c r="J18" s="577"/>
      <c r="K18" s="576"/>
    </row>
    <row r="19" spans="1:11" s="593" customFormat="1" ht="24.95" customHeight="1">
      <c r="A19" s="588"/>
      <c r="B19" s="595" t="s">
        <v>3944</v>
      </c>
      <c r="C19" s="596" t="s">
        <v>4220</v>
      </c>
      <c r="D19" s="591">
        <f>+'SP Attivo Alim'!I9</f>
        <v>0</v>
      </c>
      <c r="E19" s="591">
        <f>+'SP Attivo Alim'!J9</f>
        <v>0</v>
      </c>
      <c r="F19" s="574"/>
      <c r="G19" s="592"/>
      <c r="J19" s="577"/>
      <c r="K19" s="576"/>
    </row>
    <row r="20" spans="1:11" s="593" customFormat="1" ht="24.95" customHeight="1">
      <c r="A20" s="594"/>
      <c r="B20" s="584" t="s">
        <v>4221</v>
      </c>
      <c r="C20" s="585" t="s">
        <v>4222</v>
      </c>
      <c r="D20" s="586">
        <f>+D21-D22+D23-D24+D25-D26+D27-D28</f>
        <v>39205</v>
      </c>
      <c r="E20" s="586">
        <f>+E21-E22+E23-E24+E25-E26+E27-E28</f>
        <v>54573</v>
      </c>
      <c r="F20" s="574"/>
      <c r="G20" s="592"/>
      <c r="J20" s="577"/>
      <c r="K20" s="576"/>
    </row>
    <row r="21" spans="1:11" s="593" customFormat="1" ht="24.95" customHeight="1">
      <c r="A21" s="588"/>
      <c r="B21" s="589" t="s">
        <v>3947</v>
      </c>
      <c r="C21" s="590" t="s">
        <v>4223</v>
      </c>
      <c r="D21" s="591">
        <f>+'SP Attivo Alim'!I11</f>
        <v>301098</v>
      </c>
      <c r="E21" s="591">
        <f>+'SP Attivo Alim'!J11</f>
        <v>301098</v>
      </c>
      <c r="F21" s="574"/>
      <c r="G21" s="592"/>
      <c r="J21" s="577"/>
      <c r="K21" s="576"/>
    </row>
    <row r="22" spans="1:11" s="593" customFormat="1" ht="24.95" customHeight="1">
      <c r="A22" s="588"/>
      <c r="B22" s="589" t="s">
        <v>3519</v>
      </c>
      <c r="C22" s="590" t="s">
        <v>4224</v>
      </c>
      <c r="D22" s="591">
        <f>+'Alimentazione SP P'!I37</f>
        <v>261893</v>
      </c>
      <c r="E22" s="591">
        <f>+'Alimentazione SP P'!J37</f>
        <v>246525</v>
      </c>
      <c r="F22" s="574"/>
      <c r="G22" s="592"/>
      <c r="J22" s="577"/>
      <c r="K22" s="576"/>
    </row>
    <row r="23" spans="1:11" s="593" customFormat="1" ht="24.95" customHeight="1">
      <c r="A23" s="588"/>
      <c r="B23" s="589" t="s">
        <v>3949</v>
      </c>
      <c r="C23" s="590" t="s">
        <v>4225</v>
      </c>
      <c r="D23" s="591">
        <f>+'SP Attivo Alim'!I12</f>
        <v>39838</v>
      </c>
      <c r="E23" s="591">
        <f>+'SP Attivo Alim'!J12</f>
        <v>39838</v>
      </c>
      <c r="F23" s="574"/>
      <c r="G23" s="592"/>
      <c r="J23" s="577"/>
      <c r="K23" s="576"/>
    </row>
    <row r="24" spans="1:11" s="593" customFormat="1" ht="24.95" customHeight="1">
      <c r="A24" s="588"/>
      <c r="B24" s="589" t="s">
        <v>3521</v>
      </c>
      <c r="C24" s="590" t="s">
        <v>4226</v>
      </c>
      <c r="D24" s="591">
        <f>+'Alimentazione SP P'!I38</f>
        <v>39838</v>
      </c>
      <c r="E24" s="591">
        <f>+'Alimentazione SP P'!J38</f>
        <v>39838</v>
      </c>
      <c r="F24" s="574"/>
      <c r="G24" s="592"/>
      <c r="J24" s="577"/>
      <c r="K24" s="576"/>
    </row>
    <row r="25" spans="1:11" s="593" customFormat="1" ht="24.95" customHeight="1">
      <c r="A25" s="588"/>
      <c r="B25" s="589" t="s">
        <v>3951</v>
      </c>
      <c r="C25" s="590" t="s">
        <v>4227</v>
      </c>
      <c r="D25" s="591">
        <f>+'SP Attivo Alim'!I13</f>
        <v>0</v>
      </c>
      <c r="E25" s="591">
        <f>+'SP Attivo Alim'!J13</f>
        <v>0</v>
      </c>
      <c r="F25" s="574"/>
      <c r="G25" s="592"/>
      <c r="J25" s="577"/>
      <c r="K25" s="576"/>
    </row>
    <row r="26" spans="1:11" s="593" customFormat="1" ht="24.95" customHeight="1">
      <c r="A26" s="588"/>
      <c r="B26" s="589" t="s">
        <v>3523</v>
      </c>
      <c r="C26" s="590" t="s">
        <v>4228</v>
      </c>
      <c r="D26" s="591">
        <f>+'Alimentazione SP P'!I39</f>
        <v>0</v>
      </c>
      <c r="E26" s="591">
        <f>+'Alimentazione SP P'!J39</f>
        <v>0</v>
      </c>
      <c r="F26" s="574"/>
      <c r="G26" s="592"/>
      <c r="J26" s="577"/>
      <c r="K26" s="576"/>
    </row>
    <row r="27" spans="1:11" s="593" customFormat="1" ht="24.95" customHeight="1">
      <c r="A27" s="588"/>
      <c r="B27" s="589" t="s">
        <v>3952</v>
      </c>
      <c r="C27" s="590" t="s">
        <v>4229</v>
      </c>
      <c r="D27" s="591">
        <f>+'SP Attivo Alim'!I14</f>
        <v>0</v>
      </c>
      <c r="E27" s="591">
        <f>+'SP Attivo Alim'!J14</f>
        <v>0</v>
      </c>
      <c r="F27" s="574"/>
      <c r="G27" s="592"/>
      <c r="J27" s="577"/>
      <c r="K27" s="576"/>
    </row>
    <row r="28" spans="1:11" s="593" customFormat="1" ht="24.95" customHeight="1">
      <c r="A28" s="588"/>
      <c r="B28" s="589" t="s">
        <v>3525</v>
      </c>
      <c r="C28" s="590" t="s">
        <v>4230</v>
      </c>
      <c r="D28" s="591">
        <f>+'Alimentazione SP P'!I40</f>
        <v>0</v>
      </c>
      <c r="E28" s="591">
        <f>+'Alimentazione SP P'!J40</f>
        <v>0</v>
      </c>
      <c r="F28" s="574"/>
      <c r="G28" s="592"/>
      <c r="J28" s="577"/>
      <c r="K28" s="576"/>
    </row>
    <row r="29" spans="1:11" s="593" customFormat="1" ht="24.95" customHeight="1">
      <c r="A29" s="594"/>
      <c r="B29" s="584" t="s">
        <v>4231</v>
      </c>
      <c r="C29" s="585" t="s">
        <v>4232</v>
      </c>
      <c r="D29" s="586">
        <f>SUM(D30:D33)</f>
        <v>0</v>
      </c>
      <c r="E29" s="586">
        <f>SUM(E30:E33)</f>
        <v>0</v>
      </c>
      <c r="F29" s="574"/>
      <c r="G29" s="592"/>
      <c r="J29" s="577"/>
      <c r="K29" s="576"/>
    </row>
    <row r="30" spans="1:11" s="593" customFormat="1" ht="24.95" customHeight="1">
      <c r="A30" s="597"/>
      <c r="B30" s="589" t="s">
        <v>3543</v>
      </c>
      <c r="C30" s="590" t="s">
        <v>4233</v>
      </c>
      <c r="D30" s="591">
        <f>+'Alimentazione SP P'!I50</f>
        <v>0</v>
      </c>
      <c r="E30" s="591">
        <f>+'Alimentazione SP P'!J50</f>
        <v>0</v>
      </c>
      <c r="F30" s="574"/>
      <c r="G30" s="592"/>
      <c r="J30" s="577"/>
      <c r="K30" s="576"/>
    </row>
    <row r="31" spans="1:11" s="593" customFormat="1" ht="24.95" customHeight="1">
      <c r="A31" s="588"/>
      <c r="B31" s="589" t="s">
        <v>3545</v>
      </c>
      <c r="C31" s="590" t="s">
        <v>4234</v>
      </c>
      <c r="D31" s="591">
        <f>+'Alimentazione SP P'!I51</f>
        <v>0</v>
      </c>
      <c r="E31" s="591">
        <f>+'Alimentazione SP P'!J51</f>
        <v>0</v>
      </c>
      <c r="F31" s="574"/>
      <c r="G31" s="592"/>
      <c r="J31" s="577"/>
      <c r="K31" s="576"/>
    </row>
    <row r="32" spans="1:11" s="593" customFormat="1" ht="24.95" customHeight="1">
      <c r="A32" s="588"/>
      <c r="B32" s="589" t="s">
        <v>3547</v>
      </c>
      <c r="C32" s="590" t="s">
        <v>4235</v>
      </c>
      <c r="D32" s="591">
        <f>+'Alimentazione SP P'!I52</f>
        <v>0</v>
      </c>
      <c r="E32" s="591">
        <f>+'Alimentazione SP P'!J52</f>
        <v>0</v>
      </c>
      <c r="F32" s="574"/>
      <c r="G32" s="592"/>
      <c r="J32" s="577"/>
      <c r="K32" s="576"/>
    </row>
    <row r="33" spans="1:11" s="593" customFormat="1" ht="24.95" customHeight="1" thickBot="1">
      <c r="A33" s="598"/>
      <c r="B33" s="599" t="s">
        <v>3549</v>
      </c>
      <c r="C33" s="600" t="s">
        <v>4236</v>
      </c>
      <c r="D33" s="591">
        <f>+'Alimentazione SP P'!I53</f>
        <v>0</v>
      </c>
      <c r="E33" s="591">
        <f>+'Alimentazione SP P'!J53</f>
        <v>0</v>
      </c>
      <c r="F33" s="574"/>
      <c r="G33" s="592"/>
      <c r="J33" s="577"/>
      <c r="K33" s="576"/>
    </row>
    <row r="34" spans="1:11" s="593" customFormat="1" ht="24.95" customHeight="1">
      <c r="A34" s="601"/>
      <c r="B34" s="602" t="s">
        <v>4237</v>
      </c>
      <c r="C34" s="603" t="s">
        <v>4238</v>
      </c>
      <c r="D34" s="604">
        <f>+D35+D38+D45+D48+D51+D54+D57+D58+D61-D62</f>
        <v>32177564</v>
      </c>
      <c r="E34" s="604">
        <f>+E35+E38+E45+E48+E51+E54+E57+E58+E61-E62</f>
        <v>30752337</v>
      </c>
      <c r="F34" s="582"/>
      <c r="G34" s="575"/>
      <c r="J34" s="577"/>
      <c r="K34" s="576"/>
    </row>
    <row r="35" spans="1:11" s="593" customFormat="1" ht="24.95" customHeight="1">
      <c r="A35" s="594"/>
      <c r="B35" s="584" t="s">
        <v>4239</v>
      </c>
      <c r="C35" s="585" t="s">
        <v>4240</v>
      </c>
      <c r="D35" s="586">
        <f>+D36+D37</f>
        <v>0</v>
      </c>
      <c r="E35" s="586">
        <f>+E36+E37</f>
        <v>0</v>
      </c>
      <c r="F35" s="574"/>
      <c r="G35" s="575"/>
      <c r="J35" s="577"/>
      <c r="K35" s="576"/>
    </row>
    <row r="36" spans="1:11" s="593" customFormat="1" ht="24.95" customHeight="1">
      <c r="A36" s="588"/>
      <c r="B36" s="589" t="s">
        <v>3956</v>
      </c>
      <c r="C36" s="590" t="s">
        <v>4241</v>
      </c>
      <c r="D36" s="591">
        <f>+'SP Attivo Alim'!I17</f>
        <v>0</v>
      </c>
      <c r="E36" s="591">
        <f>+'SP Attivo Alim'!J17</f>
        <v>0</v>
      </c>
      <c r="F36" s="574"/>
      <c r="G36" s="592"/>
      <c r="J36" s="577"/>
      <c r="K36" s="576"/>
    </row>
    <row r="37" spans="1:11" s="593" customFormat="1" ht="24.95" customHeight="1">
      <c r="A37" s="588"/>
      <c r="B37" s="589" t="s">
        <v>3958</v>
      </c>
      <c r="C37" s="590" t="s">
        <v>4242</v>
      </c>
      <c r="D37" s="591">
        <f>+'SP Attivo Alim'!I18</f>
        <v>0</v>
      </c>
      <c r="E37" s="591">
        <f>+'SP Attivo Alim'!J18</f>
        <v>0</v>
      </c>
      <c r="F37" s="574"/>
      <c r="G37" s="592"/>
      <c r="J37" s="577"/>
      <c r="K37" s="576"/>
    </row>
    <row r="38" spans="1:11" s="593" customFormat="1" ht="24.95" customHeight="1">
      <c r="A38" s="594"/>
      <c r="B38" s="584" t="s">
        <v>4243</v>
      </c>
      <c r="C38" s="585" t="s">
        <v>4244</v>
      </c>
      <c r="D38" s="586">
        <f>+D39+D42</f>
        <v>21235225</v>
      </c>
      <c r="E38" s="586">
        <f>+E39+E42</f>
        <v>21156847</v>
      </c>
      <c r="F38" s="574"/>
      <c r="G38" s="592"/>
      <c r="J38" s="577"/>
      <c r="K38" s="576"/>
    </row>
    <row r="39" spans="1:11" s="593" customFormat="1" ht="24.95" customHeight="1">
      <c r="A39" s="588"/>
      <c r="B39" s="589" t="s">
        <v>4245</v>
      </c>
      <c r="C39" s="590" t="s">
        <v>4246</v>
      </c>
      <c r="D39" s="591">
        <f>+D40-D41</f>
        <v>381593</v>
      </c>
      <c r="E39" s="591">
        <f>+E40-E41</f>
        <v>763592</v>
      </c>
      <c r="F39" s="574"/>
      <c r="G39" s="592"/>
      <c r="J39" s="577"/>
      <c r="K39" s="576"/>
    </row>
    <row r="40" spans="1:11" s="593" customFormat="1" ht="24.95" customHeight="1">
      <c r="A40" s="588"/>
      <c r="B40" s="589" t="s">
        <v>3961</v>
      </c>
      <c r="C40" s="590" t="s">
        <v>4247</v>
      </c>
      <c r="D40" s="591">
        <f>+'SP Attivo Alim'!I20</f>
        <v>646905</v>
      </c>
      <c r="E40" s="591">
        <f>+'SP Attivo Alim'!J20</f>
        <v>1595783</v>
      </c>
      <c r="F40" s="574"/>
      <c r="G40" s="592"/>
      <c r="J40" s="577"/>
      <c r="K40" s="576"/>
    </row>
    <row r="41" spans="1:11" s="593" customFormat="1" ht="24.95" customHeight="1">
      <c r="A41" s="588"/>
      <c r="B41" s="589" t="s">
        <v>3528</v>
      </c>
      <c r="C41" s="590" t="s">
        <v>4248</v>
      </c>
      <c r="D41" s="591">
        <f>+'Alimentazione SP P'!I42</f>
        <v>265312</v>
      </c>
      <c r="E41" s="591">
        <f>+'Alimentazione SP P'!J42</f>
        <v>832191</v>
      </c>
      <c r="F41" s="574"/>
      <c r="G41" s="592"/>
      <c r="J41" s="577"/>
      <c r="K41" s="576"/>
    </row>
    <row r="42" spans="1:11" s="593" customFormat="1" ht="24.95" customHeight="1">
      <c r="A42" s="588"/>
      <c r="B42" s="589" t="s">
        <v>4249</v>
      </c>
      <c r="C42" s="590" t="s">
        <v>4250</v>
      </c>
      <c r="D42" s="591">
        <f>+D43-D44</f>
        <v>20853632</v>
      </c>
      <c r="E42" s="591">
        <f>+E43-E44</f>
        <v>20393255</v>
      </c>
      <c r="F42" s="574"/>
      <c r="G42" s="592"/>
      <c r="J42" s="577"/>
      <c r="K42" s="576"/>
    </row>
    <row r="43" spans="1:11" s="593" customFormat="1" ht="24.95" customHeight="1">
      <c r="A43" s="588"/>
      <c r="B43" s="589" t="s">
        <v>3963</v>
      </c>
      <c r="C43" s="590" t="s">
        <v>4251</v>
      </c>
      <c r="D43" s="591">
        <f>+'SP Attivo Alim'!I21</f>
        <v>34063819</v>
      </c>
      <c r="E43" s="591">
        <f>+'SP Attivo Alim'!J21</f>
        <v>32581528</v>
      </c>
      <c r="F43" s="574"/>
      <c r="G43" s="592"/>
      <c r="J43" s="577"/>
      <c r="K43" s="576"/>
    </row>
    <row r="44" spans="1:11" s="593" customFormat="1" ht="24.95" customHeight="1">
      <c r="A44" s="588"/>
      <c r="B44" s="589" t="s">
        <v>3530</v>
      </c>
      <c r="C44" s="590" t="s">
        <v>4252</v>
      </c>
      <c r="D44" s="591">
        <f>+'Alimentazione SP P'!I43</f>
        <v>13210187</v>
      </c>
      <c r="E44" s="591">
        <f>+'Alimentazione SP P'!J43</f>
        <v>12188273</v>
      </c>
      <c r="F44" s="574"/>
      <c r="G44" s="592"/>
      <c r="J44" s="577"/>
      <c r="K44" s="576"/>
    </row>
    <row r="45" spans="1:11" s="593" customFormat="1" ht="24.95" customHeight="1">
      <c r="A45" s="594"/>
      <c r="B45" s="584" t="s">
        <v>4253</v>
      </c>
      <c r="C45" s="585" t="s">
        <v>4254</v>
      </c>
      <c r="D45" s="586">
        <f>+D46-D47</f>
        <v>114</v>
      </c>
      <c r="E45" s="586">
        <f>+E46-E47</f>
        <v>341</v>
      </c>
      <c r="F45" s="574"/>
      <c r="G45" s="592"/>
      <c r="J45" s="577"/>
      <c r="K45" s="576"/>
    </row>
    <row r="46" spans="1:11" s="593" customFormat="1" ht="24.95" customHeight="1">
      <c r="A46" s="588"/>
      <c r="B46" s="589" t="s">
        <v>3965</v>
      </c>
      <c r="C46" s="590" t="s">
        <v>4255</v>
      </c>
      <c r="D46" s="591">
        <f>+'SP Attivo Alim'!I22</f>
        <v>3142568</v>
      </c>
      <c r="E46" s="591">
        <f>+'SP Attivo Alim'!J22</f>
        <v>3142568</v>
      </c>
      <c r="F46" s="574"/>
      <c r="G46" s="592"/>
      <c r="J46" s="577"/>
      <c r="K46" s="576"/>
    </row>
    <row r="47" spans="1:11" s="593" customFormat="1" ht="24.95" customHeight="1">
      <c r="A47" s="588"/>
      <c r="B47" s="589" t="s">
        <v>3532</v>
      </c>
      <c r="C47" s="590" t="s">
        <v>4256</v>
      </c>
      <c r="D47" s="591">
        <f>+'Alimentazione SP P'!I44</f>
        <v>3142454</v>
      </c>
      <c r="E47" s="591">
        <f>+'Alimentazione SP P'!J44</f>
        <v>3142227</v>
      </c>
      <c r="F47" s="574"/>
      <c r="G47" s="592"/>
      <c r="J47" s="577"/>
      <c r="K47" s="576"/>
    </row>
    <row r="48" spans="1:11" s="593" customFormat="1" ht="24.95" customHeight="1">
      <c r="A48" s="594"/>
      <c r="B48" s="584" t="s">
        <v>4257</v>
      </c>
      <c r="C48" s="585" t="s">
        <v>4258</v>
      </c>
      <c r="D48" s="586">
        <f>+D49-D50</f>
        <v>4561514</v>
      </c>
      <c r="E48" s="586">
        <f>+E49-E50</f>
        <v>3976294</v>
      </c>
      <c r="F48" s="574"/>
      <c r="G48" s="592"/>
      <c r="J48" s="577"/>
      <c r="K48" s="576"/>
    </row>
    <row r="49" spans="1:11" s="593" customFormat="1" ht="24.95" customHeight="1">
      <c r="A49" s="588"/>
      <c r="B49" s="589" t="s">
        <v>3967</v>
      </c>
      <c r="C49" s="590" t="s">
        <v>4259</v>
      </c>
      <c r="D49" s="591">
        <f>+'SP Attivo Alim'!I23</f>
        <v>31942436</v>
      </c>
      <c r="E49" s="591">
        <f>+'SP Attivo Alim'!J23</f>
        <v>29781536</v>
      </c>
      <c r="F49" s="574"/>
      <c r="G49" s="592"/>
      <c r="J49" s="577"/>
      <c r="K49" s="576"/>
    </row>
    <row r="50" spans="1:11" s="593" customFormat="1" ht="24.95" customHeight="1">
      <c r="A50" s="588"/>
      <c r="B50" s="589" t="s">
        <v>3534</v>
      </c>
      <c r="C50" s="590" t="s">
        <v>4260</v>
      </c>
      <c r="D50" s="591">
        <f>+'Alimentazione SP P'!I45</f>
        <v>27380922</v>
      </c>
      <c r="E50" s="591">
        <f>+'Alimentazione SP P'!J45</f>
        <v>25805242</v>
      </c>
      <c r="F50" s="574"/>
      <c r="G50" s="592"/>
      <c r="J50" s="577"/>
      <c r="K50" s="576"/>
    </row>
    <row r="51" spans="1:11" s="593" customFormat="1" ht="24.95" customHeight="1">
      <c r="A51" s="594"/>
      <c r="B51" s="584" t="s">
        <v>4261</v>
      </c>
      <c r="C51" s="585" t="s">
        <v>4262</v>
      </c>
      <c r="D51" s="586">
        <f>+D52-D53</f>
        <v>286498</v>
      </c>
      <c r="E51" s="586">
        <f>+E52-E53</f>
        <v>119091</v>
      </c>
      <c r="F51" s="574"/>
      <c r="G51" s="592"/>
      <c r="J51" s="577"/>
      <c r="K51" s="576"/>
    </row>
    <row r="52" spans="1:11" s="593" customFormat="1" ht="24.95" customHeight="1">
      <c r="A52" s="588"/>
      <c r="B52" s="589" t="s">
        <v>3969</v>
      </c>
      <c r="C52" s="590" t="s">
        <v>4263</v>
      </c>
      <c r="D52" s="591">
        <f>+'SP Attivo Alim'!I24</f>
        <v>2610680</v>
      </c>
      <c r="E52" s="591">
        <f>+'SP Attivo Alim'!J24</f>
        <v>2347145</v>
      </c>
      <c r="F52" s="574"/>
      <c r="G52" s="592"/>
      <c r="J52" s="577"/>
      <c r="K52" s="576"/>
    </row>
    <row r="53" spans="1:11" s="593" customFormat="1" ht="24.95" customHeight="1">
      <c r="A53" s="588"/>
      <c r="B53" s="589" t="s">
        <v>3536</v>
      </c>
      <c r="C53" s="590" t="s">
        <v>4264</v>
      </c>
      <c r="D53" s="591">
        <f>+'Alimentazione SP P'!I46</f>
        <v>2324182</v>
      </c>
      <c r="E53" s="591">
        <f>+'Alimentazione SP P'!J46</f>
        <v>2228054</v>
      </c>
      <c r="F53" s="574"/>
      <c r="G53" s="592"/>
      <c r="J53" s="577"/>
      <c r="K53" s="576"/>
    </row>
    <row r="54" spans="1:11" s="593" customFormat="1" ht="24.95" customHeight="1">
      <c r="A54" s="594"/>
      <c r="B54" s="584" t="s">
        <v>4265</v>
      </c>
      <c r="C54" s="585" t="s">
        <v>4266</v>
      </c>
      <c r="D54" s="586">
        <f>+D55-D56</f>
        <v>5063</v>
      </c>
      <c r="E54" s="586">
        <f>+E55-E56</f>
        <v>9814</v>
      </c>
      <c r="F54" s="574"/>
      <c r="G54" s="592"/>
      <c r="J54" s="577"/>
      <c r="K54" s="576"/>
    </row>
    <row r="55" spans="1:11" s="593" customFormat="1" ht="24.95" customHeight="1">
      <c r="A55" s="588"/>
      <c r="B55" s="589" t="s">
        <v>3971</v>
      </c>
      <c r="C55" s="590" t="s">
        <v>4267</v>
      </c>
      <c r="D55" s="591">
        <f>+'SP Attivo Alim'!I25</f>
        <v>134088</v>
      </c>
      <c r="E55" s="591">
        <f>+'SP Attivo Alim'!J25</f>
        <v>159692</v>
      </c>
      <c r="F55" s="574"/>
      <c r="G55" s="592"/>
      <c r="J55" s="577"/>
      <c r="K55" s="576"/>
    </row>
    <row r="56" spans="1:11" s="593" customFormat="1" ht="24.95" customHeight="1">
      <c r="A56" s="588"/>
      <c r="B56" s="589" t="s">
        <v>3538</v>
      </c>
      <c r="C56" s="590" t="s">
        <v>4268</v>
      </c>
      <c r="D56" s="591">
        <f>+'Alimentazione SP P'!I47</f>
        <v>129025</v>
      </c>
      <c r="E56" s="591">
        <f>+'Alimentazione SP P'!J47</f>
        <v>149878</v>
      </c>
      <c r="F56" s="574"/>
      <c r="G56" s="592"/>
      <c r="J56" s="577"/>
      <c r="K56" s="576"/>
    </row>
    <row r="57" spans="1:11" s="593" customFormat="1" ht="24.95" customHeight="1">
      <c r="A57" s="588"/>
      <c r="B57" s="595" t="s">
        <v>3973</v>
      </c>
      <c r="C57" s="596" t="s">
        <v>4269</v>
      </c>
      <c r="D57" s="591">
        <f>+'SP Attivo Alim'!I26</f>
        <v>0</v>
      </c>
      <c r="E57" s="591">
        <f>+'SP Attivo Alim'!J26</f>
        <v>0</v>
      </c>
      <c r="F57" s="574"/>
      <c r="G57" s="592"/>
      <c r="J57" s="577"/>
      <c r="K57" s="576"/>
    </row>
    <row r="58" spans="1:11" s="593" customFormat="1" ht="24.95" customHeight="1">
      <c r="A58" s="594"/>
      <c r="B58" s="584" t="s">
        <v>4270</v>
      </c>
      <c r="C58" s="585" t="s">
        <v>4271</v>
      </c>
      <c r="D58" s="586">
        <f>+D59-D60</f>
        <v>540316</v>
      </c>
      <c r="E58" s="586">
        <f>+E59-E60</f>
        <v>712080</v>
      </c>
      <c r="F58" s="574"/>
      <c r="G58" s="592"/>
      <c r="J58" s="577"/>
      <c r="K58" s="576"/>
    </row>
    <row r="59" spans="1:11" s="593" customFormat="1" ht="24.95" customHeight="1">
      <c r="A59" s="588"/>
      <c r="B59" s="589" t="s">
        <v>3975</v>
      </c>
      <c r="C59" s="590" t="s">
        <v>4272</v>
      </c>
      <c r="D59" s="591">
        <f>+'SP Attivo Alim'!I27</f>
        <v>5675333</v>
      </c>
      <c r="E59" s="591">
        <f>+'SP Attivo Alim'!J27</f>
        <v>5586460</v>
      </c>
      <c r="F59" s="574"/>
      <c r="G59" s="592"/>
      <c r="J59" s="577"/>
      <c r="K59" s="576"/>
    </row>
    <row r="60" spans="1:11" s="593" customFormat="1" ht="24.95" customHeight="1">
      <c r="A60" s="588"/>
      <c r="B60" s="589" t="s">
        <v>3540</v>
      </c>
      <c r="C60" s="590" t="s">
        <v>4273</v>
      </c>
      <c r="D60" s="591">
        <f>+'Alimentazione SP P'!I48</f>
        <v>5135017</v>
      </c>
      <c r="E60" s="591">
        <f>+'Alimentazione SP P'!J48</f>
        <v>4874380</v>
      </c>
      <c r="F60" s="574"/>
      <c r="G60" s="592"/>
      <c r="J60" s="577"/>
      <c r="K60" s="576"/>
    </row>
    <row r="61" spans="1:11" s="593" customFormat="1" ht="24.95" customHeight="1">
      <c r="A61" s="588"/>
      <c r="B61" s="595" t="s">
        <v>3977</v>
      </c>
      <c r="C61" s="596" t="s">
        <v>4274</v>
      </c>
      <c r="D61" s="591">
        <f>+'SP Attivo Alim'!I28</f>
        <v>5548834</v>
      </c>
      <c r="E61" s="591">
        <f>+'SP Attivo Alim'!J28</f>
        <v>4777870</v>
      </c>
      <c r="F61" s="574"/>
      <c r="G61" s="592"/>
      <c r="J61" s="577"/>
      <c r="K61" s="576"/>
    </row>
    <row r="62" spans="1:11" s="593" customFormat="1" ht="24.95" customHeight="1">
      <c r="A62" s="594"/>
      <c r="B62" s="584" t="s">
        <v>4275</v>
      </c>
      <c r="C62" s="585" t="s">
        <v>4276</v>
      </c>
      <c r="D62" s="586">
        <f>SUM(D63:D70)</f>
        <v>0</v>
      </c>
      <c r="E62" s="586">
        <f>SUM(E63:E70)</f>
        <v>0</v>
      </c>
      <c r="F62" s="574"/>
      <c r="G62" s="592"/>
      <c r="J62" s="577"/>
      <c r="K62" s="576"/>
    </row>
    <row r="63" spans="1:11" s="593" customFormat="1" ht="24.95" customHeight="1">
      <c r="A63" s="588"/>
      <c r="B63" s="589" t="s">
        <v>3552</v>
      </c>
      <c r="C63" s="590" t="s">
        <v>4277</v>
      </c>
      <c r="D63" s="591">
        <f>+'Alimentazione SP P'!I55+'Alimentazione SP P'!I56</f>
        <v>0</v>
      </c>
      <c r="E63" s="591">
        <f>+'Alimentazione SP P'!J55+'Alimentazione SP P'!J56</f>
        <v>0</v>
      </c>
      <c r="F63" s="574"/>
      <c r="G63" s="592"/>
      <c r="J63" s="577"/>
      <c r="K63" s="576"/>
    </row>
    <row r="64" spans="1:11" s="593" customFormat="1" ht="24.95" customHeight="1">
      <c r="A64" s="588"/>
      <c r="B64" s="589" t="s">
        <v>3555</v>
      </c>
      <c r="C64" s="590" t="s">
        <v>4278</v>
      </c>
      <c r="D64" s="591">
        <f>+'Alimentazione SP P'!I57+'Alimentazione SP P'!I58</f>
        <v>0</v>
      </c>
      <c r="E64" s="591">
        <f>+'Alimentazione SP P'!J57+'Alimentazione SP P'!J58</f>
        <v>0</v>
      </c>
      <c r="F64" s="574"/>
      <c r="G64" s="592"/>
      <c r="J64" s="577"/>
      <c r="K64" s="576"/>
    </row>
    <row r="65" spans="1:11" s="593" customFormat="1" ht="24.95" customHeight="1">
      <c r="A65" s="588"/>
      <c r="B65" s="589" t="s">
        <v>3558</v>
      </c>
      <c r="C65" s="590" t="s">
        <v>4279</v>
      </c>
      <c r="D65" s="591">
        <f>+'Alimentazione SP P'!I59</f>
        <v>0</v>
      </c>
      <c r="E65" s="591">
        <f>+'Alimentazione SP P'!J59</f>
        <v>0</v>
      </c>
      <c r="F65" s="574"/>
      <c r="G65" s="592"/>
      <c r="J65" s="577"/>
      <c r="K65" s="576"/>
    </row>
    <row r="66" spans="1:11" s="593" customFormat="1" ht="24.95" customHeight="1">
      <c r="A66" s="588"/>
      <c r="B66" s="589" t="s">
        <v>3560</v>
      </c>
      <c r="C66" s="590" t="s">
        <v>4280</v>
      </c>
      <c r="D66" s="591">
        <f>+'Alimentazione SP P'!I60</f>
        <v>0</v>
      </c>
      <c r="E66" s="591">
        <f>+'Alimentazione SP P'!J60</f>
        <v>0</v>
      </c>
      <c r="F66" s="574"/>
      <c r="G66" s="592"/>
      <c r="J66" s="577"/>
      <c r="K66" s="576"/>
    </row>
    <row r="67" spans="1:11" s="593" customFormat="1" ht="24.95" customHeight="1">
      <c r="A67" s="588"/>
      <c r="B67" s="589" t="s">
        <v>3562</v>
      </c>
      <c r="C67" s="590" t="s">
        <v>4281</v>
      </c>
      <c r="D67" s="591">
        <f>+'Alimentazione SP P'!I61</f>
        <v>0</v>
      </c>
      <c r="E67" s="591">
        <f>+'Alimentazione SP P'!J61</f>
        <v>0</v>
      </c>
      <c r="F67" s="574"/>
      <c r="G67" s="592"/>
      <c r="J67" s="577"/>
      <c r="K67" s="576"/>
    </row>
    <row r="68" spans="1:11" s="593" customFormat="1" ht="24.95" customHeight="1">
      <c r="A68" s="588"/>
      <c r="B68" s="589" t="s">
        <v>3564</v>
      </c>
      <c r="C68" s="590" t="s">
        <v>4282</v>
      </c>
      <c r="D68" s="591">
        <f>+'Alimentazione SP P'!I62</f>
        <v>0</v>
      </c>
      <c r="E68" s="591">
        <f>+'Alimentazione SP P'!J62</f>
        <v>0</v>
      </c>
      <c r="F68" s="574"/>
      <c r="G68" s="592"/>
      <c r="J68" s="577"/>
      <c r="K68" s="576"/>
    </row>
    <row r="69" spans="1:11" s="593" customFormat="1" ht="24.95" customHeight="1">
      <c r="A69" s="588"/>
      <c r="B69" s="589" t="s">
        <v>3566</v>
      </c>
      <c r="C69" s="590" t="s">
        <v>4283</v>
      </c>
      <c r="D69" s="591">
        <f>+'Alimentazione SP P'!I63</f>
        <v>0</v>
      </c>
      <c r="E69" s="591">
        <f>+'Alimentazione SP P'!J63</f>
        <v>0</v>
      </c>
      <c r="F69" s="574"/>
      <c r="G69" s="592"/>
      <c r="J69" s="577"/>
      <c r="K69" s="576"/>
    </row>
    <row r="70" spans="1:11" s="593" customFormat="1" ht="24.95" customHeight="1" thickBot="1">
      <c r="A70" s="598"/>
      <c r="B70" s="599" t="s">
        <v>3568</v>
      </c>
      <c r="C70" s="600" t="s">
        <v>4284</v>
      </c>
      <c r="D70" s="591">
        <f>+'Alimentazione SP P'!I64</f>
        <v>0</v>
      </c>
      <c r="E70" s="591">
        <f>+'Alimentazione SP P'!J64</f>
        <v>0</v>
      </c>
      <c r="F70" s="574"/>
      <c r="G70" s="592"/>
      <c r="J70" s="577"/>
      <c r="K70" s="576"/>
    </row>
    <row r="71" spans="1:11" s="593" customFormat="1" ht="24.95" customHeight="1">
      <c r="A71" s="601"/>
      <c r="B71" s="602" t="s">
        <v>4285</v>
      </c>
      <c r="C71" s="603" t="s">
        <v>4286</v>
      </c>
      <c r="D71" s="604">
        <f>+D72+D77</f>
        <v>182095</v>
      </c>
      <c r="E71" s="604">
        <f>+E72+E77</f>
        <v>185095</v>
      </c>
      <c r="F71" s="574"/>
      <c r="G71" s="592"/>
      <c r="J71" s="577"/>
      <c r="K71" s="576"/>
    </row>
    <row r="72" spans="1:11" s="593" customFormat="1" ht="24.95" customHeight="1">
      <c r="A72" s="594"/>
      <c r="B72" s="584" t="s">
        <v>4287</v>
      </c>
      <c r="C72" s="585" t="s">
        <v>4288</v>
      </c>
      <c r="D72" s="586">
        <f>SUM(D73:D76)</f>
        <v>177095</v>
      </c>
      <c r="E72" s="586">
        <f>SUM(E73:E76)</f>
        <v>177095</v>
      </c>
      <c r="F72" s="574"/>
      <c r="G72" s="592"/>
      <c r="J72" s="577"/>
      <c r="K72" s="576"/>
    </row>
    <row r="73" spans="1:11" s="593" customFormat="1" ht="24.95" customHeight="1">
      <c r="A73" s="588"/>
      <c r="B73" s="589" t="s">
        <v>3571</v>
      </c>
      <c r="C73" s="590" t="s">
        <v>4289</v>
      </c>
      <c r="D73" s="591">
        <f>+'SP Attivo Alim'!I31-'Alimentazione SP P'!I66</f>
        <v>0</v>
      </c>
      <c r="E73" s="591">
        <f>+'SP Attivo Alim'!J31-'Alimentazione SP P'!J66</f>
        <v>0</v>
      </c>
      <c r="F73" s="574"/>
      <c r="G73" s="592"/>
      <c r="J73" s="577"/>
      <c r="K73" s="576"/>
    </row>
    <row r="74" spans="1:11" s="593" customFormat="1" ht="24.95" customHeight="1">
      <c r="A74" s="588"/>
      <c r="B74" s="589" t="s">
        <v>3573</v>
      </c>
      <c r="C74" s="590" t="s">
        <v>4290</v>
      </c>
      <c r="D74" s="591">
        <f>+'SP Attivo Alim'!I32-'Alimentazione SP P'!I67</f>
        <v>0</v>
      </c>
      <c r="E74" s="591">
        <f>+'SP Attivo Alim'!J32-'Alimentazione SP P'!J67</f>
        <v>0</v>
      </c>
      <c r="F74" s="574"/>
      <c r="G74" s="592"/>
      <c r="J74" s="577"/>
      <c r="K74" s="576"/>
    </row>
    <row r="75" spans="1:11" s="593" customFormat="1" ht="24.95" customHeight="1">
      <c r="A75" s="588"/>
      <c r="B75" s="589" t="s">
        <v>3575</v>
      </c>
      <c r="C75" s="590" t="s">
        <v>4291</v>
      </c>
      <c r="D75" s="591">
        <f>+'SP Attivo Alim'!I33-'Alimentazione SP P'!I68</f>
        <v>0</v>
      </c>
      <c r="E75" s="591">
        <f>+'SP Attivo Alim'!J33-'Alimentazione SP P'!J68</f>
        <v>0</v>
      </c>
      <c r="F75" s="574"/>
      <c r="G75" s="592"/>
      <c r="J75" s="577"/>
      <c r="K75" s="576"/>
    </row>
    <row r="76" spans="1:11" s="593" customFormat="1" ht="24.95" customHeight="1">
      <c r="A76" s="588"/>
      <c r="B76" s="589" t="s">
        <v>3577</v>
      </c>
      <c r="C76" s="590" t="s">
        <v>4292</v>
      </c>
      <c r="D76" s="591">
        <f>+'SP Attivo Alim'!I35+'SP Attivo Alim'!I36+'SP Attivo Alim'!I37-'Alimentazione SP P'!I69</f>
        <v>177095</v>
      </c>
      <c r="E76" s="591">
        <f>+'SP Attivo Alim'!J35+'SP Attivo Alim'!J36+'SP Attivo Alim'!J37-'Alimentazione SP P'!J69</f>
        <v>177095</v>
      </c>
      <c r="F76" s="574"/>
      <c r="G76" s="592"/>
      <c r="J76" s="577"/>
      <c r="K76" s="576"/>
    </row>
    <row r="77" spans="1:11" s="593" customFormat="1" ht="24.95" customHeight="1">
      <c r="A77" s="594"/>
      <c r="B77" s="584" t="s">
        <v>4293</v>
      </c>
      <c r="C77" s="585" t="s">
        <v>4294</v>
      </c>
      <c r="D77" s="586">
        <f>+D78+D79</f>
        <v>5000</v>
      </c>
      <c r="E77" s="586">
        <f>+E78+E79</f>
        <v>8000</v>
      </c>
      <c r="F77" s="574"/>
      <c r="G77" s="592"/>
      <c r="J77" s="577"/>
      <c r="K77" s="576"/>
    </row>
    <row r="78" spans="1:11" s="593" customFormat="1" ht="24.95" customHeight="1">
      <c r="A78" s="588"/>
      <c r="B78" s="589" t="s">
        <v>3989</v>
      </c>
      <c r="C78" s="590" t="s">
        <v>4295</v>
      </c>
      <c r="D78" s="591">
        <f>+'SP Attivo Alim'!I39</f>
        <v>5000</v>
      </c>
      <c r="E78" s="591">
        <f>+'SP Attivo Alim'!J39</f>
        <v>8000</v>
      </c>
      <c r="F78" s="574"/>
      <c r="G78" s="592"/>
      <c r="J78" s="577"/>
      <c r="K78" s="576"/>
    </row>
    <row r="79" spans="1:11" s="593" customFormat="1" ht="24.95" customHeight="1">
      <c r="A79" s="588"/>
      <c r="B79" s="589" t="s">
        <v>4296</v>
      </c>
      <c r="C79" s="590" t="s">
        <v>4297</v>
      </c>
      <c r="D79" s="591">
        <f>SUM(D80:D83)</f>
        <v>0</v>
      </c>
      <c r="E79" s="591">
        <f>SUM(E80:E83)</f>
        <v>0</v>
      </c>
      <c r="F79" s="574"/>
      <c r="G79" s="592"/>
      <c r="J79" s="577"/>
      <c r="K79" s="576"/>
    </row>
    <row r="80" spans="1:11" s="593" customFormat="1" ht="24.95" customHeight="1">
      <c r="A80" s="588"/>
      <c r="B80" s="589" t="s">
        <v>3992</v>
      </c>
      <c r="C80" s="590" t="s">
        <v>4298</v>
      </c>
      <c r="D80" s="591">
        <f>+'SP Attivo Alim'!I41</f>
        <v>0</v>
      </c>
      <c r="E80" s="591">
        <f>+'SP Attivo Alim'!J41</f>
        <v>0</v>
      </c>
      <c r="F80" s="574"/>
      <c r="G80" s="592"/>
      <c r="J80" s="577"/>
      <c r="K80" s="576"/>
    </row>
    <row r="81" spans="1:11" s="593" customFormat="1" ht="24.95" customHeight="1">
      <c r="A81" s="588"/>
      <c r="B81" s="589" t="s">
        <v>3994</v>
      </c>
      <c r="C81" s="590" t="s">
        <v>4299</v>
      </c>
      <c r="D81" s="591">
        <f>+'SP Attivo Alim'!I42</f>
        <v>0</v>
      </c>
      <c r="E81" s="591">
        <f>+'SP Attivo Alim'!J42</f>
        <v>0</v>
      </c>
      <c r="F81" s="574"/>
      <c r="G81" s="592"/>
      <c r="J81" s="577"/>
      <c r="K81" s="576"/>
    </row>
    <row r="82" spans="1:11" s="593" customFormat="1" ht="24.95" customHeight="1">
      <c r="A82" s="588"/>
      <c r="B82" s="589" t="s">
        <v>3996</v>
      </c>
      <c r="C82" s="590" t="s">
        <v>4300</v>
      </c>
      <c r="D82" s="591">
        <f>+'SP Attivo Alim'!I43</f>
        <v>0</v>
      </c>
      <c r="E82" s="591">
        <f>+'SP Attivo Alim'!J43</f>
        <v>0</v>
      </c>
      <c r="F82" s="574"/>
      <c r="G82" s="592"/>
      <c r="J82" s="577"/>
      <c r="K82" s="576"/>
    </row>
    <row r="83" spans="1:11" s="593" customFormat="1" ht="24.95" customHeight="1" thickBot="1">
      <c r="A83" s="598"/>
      <c r="B83" s="599" t="s">
        <v>3998</v>
      </c>
      <c r="C83" s="600" t="s">
        <v>4301</v>
      </c>
      <c r="D83" s="591">
        <f>+'SP Attivo Alim'!I44</f>
        <v>0</v>
      </c>
      <c r="E83" s="591">
        <f>+'SP Attivo Alim'!J44</f>
        <v>0</v>
      </c>
      <c r="F83" s="574"/>
      <c r="G83" s="592"/>
      <c r="J83" s="577"/>
      <c r="K83" s="576"/>
    </row>
    <row r="84" spans="1:11" s="593" customFormat="1" ht="24.95" customHeight="1">
      <c r="A84" s="570"/>
      <c r="B84" s="571" t="s">
        <v>4302</v>
      </c>
      <c r="C84" s="572" t="s">
        <v>4303</v>
      </c>
      <c r="D84" s="605">
        <f>+D85+D104+D168+D171</f>
        <v>79130004</v>
      </c>
      <c r="E84" s="605">
        <f>+E85+E104+E168+E171</f>
        <v>78686220</v>
      </c>
      <c r="F84" s="574"/>
      <c r="G84" s="592"/>
      <c r="J84" s="577"/>
      <c r="K84" s="576"/>
    </row>
    <row r="85" spans="1:11" s="593" customFormat="1" ht="24.95" customHeight="1">
      <c r="A85" s="578"/>
      <c r="B85" s="579" t="s">
        <v>4304</v>
      </c>
      <c r="C85" s="580" t="s">
        <v>4305</v>
      </c>
      <c r="D85" s="581">
        <f>+D86+D96</f>
        <v>1542857</v>
      </c>
      <c r="E85" s="581">
        <f>+E86+E96</f>
        <v>1323160</v>
      </c>
      <c r="F85" s="574"/>
      <c r="G85" s="592"/>
      <c r="J85" s="577"/>
      <c r="K85" s="576"/>
    </row>
    <row r="86" spans="1:11" s="593" customFormat="1" ht="24.95" customHeight="1">
      <c r="A86" s="594"/>
      <c r="B86" s="584" t="s">
        <v>4306</v>
      </c>
      <c r="C86" s="585" t="s">
        <v>4307</v>
      </c>
      <c r="D86" s="586">
        <f>SUM(D87:D95)</f>
        <v>1425836</v>
      </c>
      <c r="E86" s="586">
        <f>SUM(E87:E95)</f>
        <v>1204378</v>
      </c>
      <c r="F86" s="574"/>
      <c r="G86" s="592"/>
      <c r="J86" s="577"/>
      <c r="K86" s="576"/>
    </row>
    <row r="87" spans="1:11" s="593" customFormat="1" ht="24.95" customHeight="1">
      <c r="A87" s="588"/>
      <c r="B87" s="589" t="s">
        <v>4001</v>
      </c>
      <c r="C87" s="590" t="s">
        <v>4308</v>
      </c>
      <c r="D87" s="591">
        <f>+'SP Attivo Alim'!I48+'SP Attivo Alim'!I49+'SP Attivo Alim'!I50</f>
        <v>32441</v>
      </c>
      <c r="E87" s="591">
        <f>+'SP Attivo Alim'!J48+'SP Attivo Alim'!J49+'SP Attivo Alim'!J50</f>
        <v>38158</v>
      </c>
      <c r="F87" s="574"/>
      <c r="G87" s="592"/>
      <c r="J87" s="577"/>
      <c r="K87" s="576"/>
    </row>
    <row r="88" spans="1:11" s="593" customFormat="1" ht="24.95" customHeight="1">
      <c r="A88" s="588"/>
      <c r="B88" s="589" t="s">
        <v>4002</v>
      </c>
      <c r="C88" s="590" t="s">
        <v>4309</v>
      </c>
      <c r="D88" s="591">
        <f>+'SP Attivo Alim'!I51</f>
        <v>0</v>
      </c>
      <c r="E88" s="591">
        <f>+'SP Attivo Alim'!J51</f>
        <v>0</v>
      </c>
      <c r="F88" s="574"/>
      <c r="G88" s="592"/>
      <c r="J88" s="577"/>
      <c r="K88" s="576"/>
    </row>
    <row r="89" spans="1:11" s="593" customFormat="1" ht="24.95" customHeight="1">
      <c r="A89" s="588"/>
      <c r="B89" s="589" t="s">
        <v>4003</v>
      </c>
      <c r="C89" s="590" t="s">
        <v>4310</v>
      </c>
      <c r="D89" s="591">
        <f>+'SP Attivo Alim'!I53+'SP Attivo Alim'!I54+'SP Attivo Alim'!I55</f>
        <v>1191501</v>
      </c>
      <c r="E89" s="591">
        <f>+'SP Attivo Alim'!J53+'SP Attivo Alim'!J54+'SP Attivo Alim'!J55</f>
        <v>1004160</v>
      </c>
      <c r="F89" s="574"/>
      <c r="G89" s="592"/>
      <c r="J89" s="577"/>
      <c r="K89" s="576"/>
    </row>
    <row r="90" spans="1:11" s="593" customFormat="1" ht="24.95" customHeight="1">
      <c r="A90" s="588"/>
      <c r="B90" s="589" t="s">
        <v>4004</v>
      </c>
      <c r="C90" s="590" t="s">
        <v>4311</v>
      </c>
      <c r="D90" s="591">
        <f>+'SP Attivo Alim'!I56</f>
        <v>1253</v>
      </c>
      <c r="E90" s="591">
        <f>+'SP Attivo Alim'!J56</f>
        <v>468</v>
      </c>
      <c r="F90" s="574"/>
      <c r="G90" s="592"/>
      <c r="J90" s="577"/>
      <c r="K90" s="576"/>
    </row>
    <row r="91" spans="1:11" s="593" customFormat="1" ht="24.95" customHeight="1">
      <c r="A91" s="588"/>
      <c r="B91" s="589" t="s">
        <v>4005</v>
      </c>
      <c r="C91" s="590" t="s">
        <v>4312</v>
      </c>
      <c r="D91" s="591">
        <f>+'SP Attivo Alim'!I57</f>
        <v>0</v>
      </c>
      <c r="E91" s="591">
        <f>+'SP Attivo Alim'!J57</f>
        <v>0</v>
      </c>
      <c r="F91" s="574"/>
      <c r="G91" s="592"/>
      <c r="J91" s="577"/>
      <c r="K91" s="576"/>
    </row>
    <row r="92" spans="1:11" s="593" customFormat="1" ht="24.95" customHeight="1">
      <c r="A92" s="588"/>
      <c r="B92" s="589" t="s">
        <v>4006</v>
      </c>
      <c r="C92" s="590" t="s">
        <v>4313</v>
      </c>
      <c r="D92" s="591">
        <f>+'SP Attivo Alim'!I58</f>
        <v>69146</v>
      </c>
      <c r="E92" s="591">
        <f>+'SP Attivo Alim'!J58</f>
        <v>48798</v>
      </c>
      <c r="F92" s="574"/>
      <c r="G92" s="592"/>
      <c r="J92" s="577"/>
      <c r="K92" s="576"/>
    </row>
    <row r="93" spans="1:11" s="593" customFormat="1" ht="24.95" customHeight="1">
      <c r="A93" s="588"/>
      <c r="B93" s="589" t="s">
        <v>4007</v>
      </c>
      <c r="C93" s="590" t="s">
        <v>4314</v>
      </c>
      <c r="D93" s="591">
        <f>+'SP Attivo Alim'!I59</f>
        <v>0</v>
      </c>
      <c r="E93" s="591">
        <f>+'SP Attivo Alim'!J59</f>
        <v>0</v>
      </c>
      <c r="F93" s="574"/>
      <c r="G93" s="592"/>
      <c r="J93" s="577"/>
      <c r="K93" s="576"/>
    </row>
    <row r="94" spans="1:11" s="593" customFormat="1" ht="24.95" customHeight="1">
      <c r="A94" s="588"/>
      <c r="B94" s="589" t="s">
        <v>4008</v>
      </c>
      <c r="C94" s="590" t="s">
        <v>4315</v>
      </c>
      <c r="D94" s="591">
        <f>+'SP Attivo Alim'!I60</f>
        <v>131495</v>
      </c>
      <c r="E94" s="591">
        <f>+'SP Attivo Alim'!J60</f>
        <v>112794</v>
      </c>
      <c r="F94" s="574"/>
      <c r="G94" s="592"/>
      <c r="J94" s="577"/>
      <c r="K94" s="576"/>
    </row>
    <row r="95" spans="1:11" s="593" customFormat="1" ht="24.95" customHeight="1">
      <c r="A95" s="588"/>
      <c r="B95" s="589" t="s">
        <v>4010</v>
      </c>
      <c r="C95" s="590" t="s">
        <v>4316</v>
      </c>
      <c r="D95" s="591">
        <f>+'SP Attivo Alim'!I61</f>
        <v>0</v>
      </c>
      <c r="E95" s="591">
        <f>+'SP Attivo Alim'!J61</f>
        <v>0</v>
      </c>
      <c r="F95" s="574"/>
      <c r="G95" s="592"/>
      <c r="J95" s="577"/>
      <c r="K95" s="576"/>
    </row>
    <row r="96" spans="1:11" s="593" customFormat="1" ht="24.95" customHeight="1">
      <c r="A96" s="594"/>
      <c r="B96" s="584" t="s">
        <v>4317</v>
      </c>
      <c r="C96" s="585" t="s">
        <v>4318</v>
      </c>
      <c r="D96" s="586">
        <f>SUM(D97:D103)</f>
        <v>117021</v>
      </c>
      <c r="E96" s="586">
        <f>SUM(E97:E103)</f>
        <v>118782</v>
      </c>
      <c r="F96" s="574"/>
      <c r="G96" s="592"/>
      <c r="J96" s="577"/>
      <c r="K96" s="576"/>
    </row>
    <row r="97" spans="1:11" s="593" customFormat="1" ht="24.95" customHeight="1">
      <c r="A97" s="588"/>
      <c r="B97" s="589" t="s">
        <v>4012</v>
      </c>
      <c r="C97" s="590" t="s">
        <v>4319</v>
      </c>
      <c r="D97" s="591">
        <f>+'SP Attivo Alim'!I63</f>
        <v>61</v>
      </c>
      <c r="E97" s="591">
        <f>+'SP Attivo Alim'!J63</f>
        <v>21</v>
      </c>
      <c r="F97" s="574"/>
      <c r="G97" s="592"/>
      <c r="J97" s="577"/>
      <c r="K97" s="576"/>
    </row>
    <row r="98" spans="1:11" s="593" customFormat="1" ht="24.95" customHeight="1">
      <c r="A98" s="588"/>
      <c r="B98" s="589" t="s">
        <v>4014</v>
      </c>
      <c r="C98" s="590" t="s">
        <v>4320</v>
      </c>
      <c r="D98" s="591">
        <f>+'SP Attivo Alim'!I64</f>
        <v>7647</v>
      </c>
      <c r="E98" s="591">
        <f>+'SP Attivo Alim'!J64</f>
        <v>7129</v>
      </c>
      <c r="F98" s="574"/>
      <c r="G98" s="592"/>
      <c r="J98" s="577"/>
      <c r="K98" s="576"/>
    </row>
    <row r="99" spans="1:11" s="593" customFormat="1" ht="24.95" customHeight="1">
      <c r="A99" s="588"/>
      <c r="B99" s="589" t="s">
        <v>4015</v>
      </c>
      <c r="C99" s="590" t="s">
        <v>4321</v>
      </c>
      <c r="D99" s="591">
        <f>+'SP Attivo Alim'!I65</f>
        <v>0</v>
      </c>
      <c r="E99" s="591">
        <f>+'SP Attivo Alim'!J65</f>
        <v>0</v>
      </c>
      <c r="F99" s="574"/>
      <c r="G99" s="592"/>
      <c r="J99" s="577"/>
      <c r="K99" s="576"/>
    </row>
    <row r="100" spans="1:11" s="593" customFormat="1" ht="24.95" customHeight="1">
      <c r="A100" s="588"/>
      <c r="B100" s="589" t="s">
        <v>4016</v>
      </c>
      <c r="C100" s="590" t="s">
        <v>4322</v>
      </c>
      <c r="D100" s="591">
        <f>+'SP Attivo Alim'!I66</f>
        <v>94431</v>
      </c>
      <c r="E100" s="591">
        <f>+'SP Attivo Alim'!J66</f>
        <v>84513</v>
      </c>
      <c r="F100" s="574"/>
      <c r="G100" s="592"/>
      <c r="J100" s="577"/>
      <c r="K100" s="576"/>
    </row>
    <row r="101" spans="1:11" s="593" customFormat="1" ht="24.95" customHeight="1">
      <c r="A101" s="588"/>
      <c r="B101" s="589" t="s">
        <v>4017</v>
      </c>
      <c r="C101" s="590" t="s">
        <v>4323</v>
      </c>
      <c r="D101" s="591">
        <f>+'SP Attivo Alim'!I67</f>
        <v>5742</v>
      </c>
      <c r="E101" s="591">
        <f>+'SP Attivo Alim'!J67</f>
        <v>6330</v>
      </c>
      <c r="F101" s="574"/>
      <c r="G101" s="592"/>
      <c r="J101" s="577"/>
      <c r="K101" s="576"/>
    </row>
    <row r="102" spans="1:11" s="593" customFormat="1" ht="24.95" customHeight="1">
      <c r="A102" s="588"/>
      <c r="B102" s="589" t="s">
        <v>4018</v>
      </c>
      <c r="C102" s="590" t="s">
        <v>4324</v>
      </c>
      <c r="D102" s="591">
        <f>+'SP Attivo Alim'!I68</f>
        <v>9140</v>
      </c>
      <c r="E102" s="591">
        <f>+'SP Attivo Alim'!J68</f>
        <v>20789</v>
      </c>
      <c r="F102" s="574"/>
      <c r="G102" s="592"/>
      <c r="J102" s="577"/>
      <c r="K102" s="576"/>
    </row>
    <row r="103" spans="1:11" s="593" customFormat="1" ht="24.95" customHeight="1" thickBot="1">
      <c r="A103" s="598"/>
      <c r="B103" s="599" t="s">
        <v>4020</v>
      </c>
      <c r="C103" s="600" t="s">
        <v>4325</v>
      </c>
      <c r="D103" s="591">
        <f>+'SP Attivo Alim'!I69</f>
        <v>0</v>
      </c>
      <c r="E103" s="591">
        <f>+'SP Attivo Alim'!J69</f>
        <v>0</v>
      </c>
      <c r="F103" s="574"/>
      <c r="G103" s="592"/>
      <c r="J103" s="577"/>
      <c r="K103" s="576"/>
    </row>
    <row r="104" spans="1:11" s="593" customFormat="1" ht="24.95" customHeight="1">
      <c r="A104" s="601"/>
      <c r="B104" s="602" t="s">
        <v>4326</v>
      </c>
      <c r="C104" s="603" t="s">
        <v>4327</v>
      </c>
      <c r="D104" s="604">
        <f>+D105+D121+D142+D143+D152++D156+D157</f>
        <v>38588035</v>
      </c>
      <c r="E104" s="604">
        <f>+E105+E121+E142+E143+E152++E156+E157</f>
        <v>45049687</v>
      </c>
      <c r="F104" s="574"/>
      <c r="G104" s="592"/>
      <c r="J104" s="577"/>
      <c r="K104" s="576"/>
    </row>
    <row r="105" spans="1:11" s="593" customFormat="1" ht="24.95" customHeight="1">
      <c r="A105" s="594"/>
      <c r="B105" s="584" t="s">
        <v>4328</v>
      </c>
      <c r="C105" s="585" t="s">
        <v>4329</v>
      </c>
      <c r="D105" s="586">
        <f>SUM(D106:D115,D120)</f>
        <v>20622314</v>
      </c>
      <c r="E105" s="586">
        <f>SUM(E106:E115,E120)</f>
        <v>21996878</v>
      </c>
      <c r="F105" s="574"/>
      <c r="G105" s="592"/>
      <c r="J105" s="577"/>
      <c r="K105" s="576"/>
    </row>
    <row r="106" spans="1:11" s="257" customFormat="1" ht="24.95" customHeight="1">
      <c r="A106" s="606" t="s">
        <v>1571</v>
      </c>
      <c r="B106" s="607" t="s">
        <v>3579</v>
      </c>
      <c r="C106" s="608" t="s">
        <v>4330</v>
      </c>
      <c r="D106" s="591">
        <f>+'SP Attivo Alim'!I72-'Alimentazione SP P'!I70</f>
        <v>0</v>
      </c>
      <c r="E106" s="591">
        <f>+'SP Attivo Alim'!J72-'Alimentazione SP P'!J70</f>
        <v>234641</v>
      </c>
      <c r="F106" s="582"/>
      <c r="G106" s="609"/>
      <c r="J106" s="577"/>
      <c r="K106" s="576"/>
    </row>
    <row r="107" spans="1:11" s="257" customFormat="1" ht="24.95" customHeight="1">
      <c r="A107" s="606" t="s">
        <v>1571</v>
      </c>
      <c r="B107" s="607" t="s">
        <v>3581</v>
      </c>
      <c r="C107" s="608" t="s">
        <v>4331</v>
      </c>
      <c r="D107" s="591">
        <f>+'SP Attivo Alim'!I73-'Alimentazione SP P'!I71</f>
        <v>2554235</v>
      </c>
      <c r="E107" s="591">
        <f>+'SP Attivo Alim'!J73-'Alimentazione SP P'!J71</f>
        <v>2554235</v>
      </c>
      <c r="F107" s="610"/>
      <c r="G107" s="611"/>
      <c r="J107" s="577"/>
      <c r="K107" s="576"/>
    </row>
    <row r="108" spans="1:11" s="257" customFormat="1" ht="24.95" customHeight="1">
      <c r="A108" s="606" t="s">
        <v>1567</v>
      </c>
      <c r="B108" s="607" t="s">
        <v>3583</v>
      </c>
      <c r="C108" s="608" t="s">
        <v>4332</v>
      </c>
      <c r="D108" s="591">
        <f>+'SP Attivo Alim'!I74-'Alimentazione SP P'!I72</f>
        <v>0</v>
      </c>
      <c r="E108" s="591">
        <f>+'SP Attivo Alim'!J74-'Alimentazione SP P'!J72</f>
        <v>0</v>
      </c>
      <c r="F108" s="610"/>
      <c r="G108" s="611"/>
      <c r="J108" s="577"/>
      <c r="K108" s="576"/>
    </row>
    <row r="109" spans="1:11" s="257" customFormat="1" ht="24.95" customHeight="1">
      <c r="A109" s="612"/>
      <c r="B109" s="607" t="s">
        <v>3585</v>
      </c>
      <c r="C109" s="608" t="s">
        <v>4333</v>
      </c>
      <c r="D109" s="591">
        <f>+'SP Attivo Alim'!I75-'Alimentazione SP P'!I73</f>
        <v>0</v>
      </c>
      <c r="E109" s="591">
        <f>+'SP Attivo Alim'!J75-'Alimentazione SP P'!J73</f>
        <v>0</v>
      </c>
      <c r="F109" s="610"/>
      <c r="G109" s="611"/>
      <c r="J109" s="577"/>
      <c r="K109" s="576"/>
    </row>
    <row r="110" spans="1:11" s="257" customFormat="1" ht="30" customHeight="1">
      <c r="A110" s="606" t="s">
        <v>1571</v>
      </c>
      <c r="B110" s="607" t="s">
        <v>3587</v>
      </c>
      <c r="C110" s="608" t="s">
        <v>4334</v>
      </c>
      <c r="D110" s="591">
        <f>+'SP Attivo Alim'!I76-'Alimentazione SP P'!I74</f>
        <v>0</v>
      </c>
      <c r="E110" s="591">
        <f>+'SP Attivo Alim'!J76-'Alimentazione SP P'!J74</f>
        <v>0</v>
      </c>
      <c r="F110" s="610"/>
      <c r="G110" s="611"/>
      <c r="J110" s="577"/>
      <c r="K110" s="576"/>
    </row>
    <row r="111" spans="1:11" s="257" customFormat="1" ht="24.95" customHeight="1">
      <c r="A111" s="606" t="s">
        <v>1571</v>
      </c>
      <c r="B111" s="607" t="s">
        <v>3589</v>
      </c>
      <c r="C111" s="608" t="s">
        <v>4335</v>
      </c>
      <c r="D111" s="591">
        <f>+'SP Attivo Alim'!I77-'Alimentazione SP P'!I75</f>
        <v>0</v>
      </c>
      <c r="E111" s="591">
        <f>+'SP Attivo Alim'!J77-'Alimentazione SP P'!J75</f>
        <v>0</v>
      </c>
      <c r="F111" s="610"/>
      <c r="G111" s="611"/>
      <c r="J111" s="577"/>
      <c r="K111" s="576"/>
    </row>
    <row r="112" spans="1:11" s="257" customFormat="1" ht="24.95" customHeight="1">
      <c r="A112" s="606" t="s">
        <v>1571</v>
      </c>
      <c r="B112" s="607" t="s">
        <v>3591</v>
      </c>
      <c r="C112" s="608" t="s">
        <v>4336</v>
      </c>
      <c r="D112" s="591">
        <f>+'SP Attivo Alim'!I79+'SP Attivo Alim'!I80+'SP Attivo Alim'!I81-'Alimentazione SP P'!I76</f>
        <v>753869</v>
      </c>
      <c r="E112" s="591">
        <f>+'SP Attivo Alim'!J79+'SP Attivo Alim'!J80+'SP Attivo Alim'!J81-'Alimentazione SP P'!J76</f>
        <v>2094100</v>
      </c>
      <c r="F112" s="610"/>
      <c r="G112" s="611"/>
      <c r="J112" s="577"/>
      <c r="K112" s="576"/>
    </row>
    <row r="113" spans="1:11" s="610" customFormat="1" ht="24.95" customHeight="1">
      <c r="A113" s="606" t="s">
        <v>1571</v>
      </c>
      <c r="B113" s="607" t="s">
        <v>3593</v>
      </c>
      <c r="C113" s="608" t="s">
        <v>4337</v>
      </c>
      <c r="D113" s="591">
        <f>+'SP Attivo Alim'!I82-'Alimentazione SP P'!I77</f>
        <v>0</v>
      </c>
      <c r="E113" s="591">
        <f>+'SP Attivo Alim'!J82-'Alimentazione SP P'!J77</f>
        <v>0</v>
      </c>
      <c r="G113" s="609"/>
      <c r="J113" s="577"/>
      <c r="K113" s="576"/>
    </row>
    <row r="114" spans="1:11" s="257" customFormat="1" ht="24.95" customHeight="1">
      <c r="A114" s="606" t="s">
        <v>1571</v>
      </c>
      <c r="B114" s="607" t="s">
        <v>3595</v>
      </c>
      <c r="C114" s="608" t="s">
        <v>4338</v>
      </c>
      <c r="D114" s="591">
        <f>+'SP Attivo Alim'!I83-'Alimentazione SP P'!I78</f>
        <v>15930649</v>
      </c>
      <c r="E114" s="591">
        <f>+'SP Attivo Alim'!J83-'Alimentazione SP P'!J78</f>
        <v>15955773</v>
      </c>
      <c r="F114" s="582"/>
      <c r="G114" s="609"/>
      <c r="J114" s="577"/>
      <c r="K114" s="576"/>
    </row>
    <row r="115" spans="1:11" s="257" customFormat="1" ht="24.95" customHeight="1">
      <c r="A115" s="613"/>
      <c r="B115" s="614" t="s">
        <v>4339</v>
      </c>
      <c r="C115" s="615" t="s">
        <v>4340</v>
      </c>
      <c r="D115" s="616">
        <f>+D116+D117+D118+D119</f>
        <v>1382464</v>
      </c>
      <c r="E115" s="616">
        <f>+E116+E117+E118+E119</f>
        <v>1158129</v>
      </c>
      <c r="F115" s="582"/>
      <c r="G115" s="609"/>
      <c r="J115" s="577"/>
      <c r="K115" s="576"/>
    </row>
    <row r="116" spans="1:11" s="257" customFormat="1" ht="24.95" customHeight="1">
      <c r="A116" s="606" t="s">
        <v>1571</v>
      </c>
      <c r="B116" s="607" t="s">
        <v>3597</v>
      </c>
      <c r="C116" s="608" t="s">
        <v>4341</v>
      </c>
      <c r="D116" s="591">
        <f>+'SP Attivo Alim'!I85-'Alimentazione SP P'!I79</f>
        <v>0</v>
      </c>
      <c r="E116" s="591">
        <f>+'SP Attivo Alim'!J85-'Alimentazione SP P'!J79</f>
        <v>0</v>
      </c>
      <c r="F116" s="582"/>
      <c r="G116" s="609"/>
      <c r="J116" s="577"/>
      <c r="K116" s="576"/>
    </row>
    <row r="117" spans="1:11" s="257" customFormat="1" ht="24.95" customHeight="1">
      <c r="A117" s="606" t="s">
        <v>1571</v>
      </c>
      <c r="B117" s="607" t="s">
        <v>3599</v>
      </c>
      <c r="C117" s="608" t="s">
        <v>4342</v>
      </c>
      <c r="D117" s="591">
        <f>+'SP Attivo Alim'!I86-'Alimentazione SP P'!I80</f>
        <v>1382464</v>
      </c>
      <c r="E117" s="591">
        <f>+'SP Attivo Alim'!J86-'Alimentazione SP P'!J80</f>
        <v>815169</v>
      </c>
      <c r="F117" s="582"/>
      <c r="G117" s="609"/>
      <c r="J117" s="577"/>
      <c r="K117" s="576"/>
    </row>
    <row r="118" spans="1:11" s="257" customFormat="1" ht="24.95" customHeight="1">
      <c r="A118" s="606" t="s">
        <v>1571</v>
      </c>
      <c r="B118" s="607" t="s">
        <v>3601</v>
      </c>
      <c r="C118" s="608" t="s">
        <v>4343</v>
      </c>
      <c r="D118" s="591">
        <f>+'SP Attivo Alim'!I88+'SP Attivo Alim'!I89+'SP Attivo Alim'!I90-'Alimentazione SP P'!I81</f>
        <v>0</v>
      </c>
      <c r="E118" s="591">
        <f>+'SP Attivo Alim'!J88+'SP Attivo Alim'!J89+'SP Attivo Alim'!J90-'Alimentazione SP P'!J81</f>
        <v>0</v>
      </c>
      <c r="F118" s="582"/>
      <c r="G118" s="609"/>
      <c r="J118" s="577"/>
      <c r="K118" s="576"/>
    </row>
    <row r="119" spans="1:11" s="257" customFormat="1" ht="24.95" customHeight="1">
      <c r="A119" s="606" t="s">
        <v>1571</v>
      </c>
      <c r="B119" s="607" t="s">
        <v>3603</v>
      </c>
      <c r="C119" s="608" t="s">
        <v>4344</v>
      </c>
      <c r="D119" s="591">
        <f>+'SP Attivo Alim'!I91-'Alimentazione SP P'!I82</f>
        <v>0</v>
      </c>
      <c r="E119" s="591">
        <f>+'SP Attivo Alim'!J91-'Alimentazione SP P'!J82</f>
        <v>342960</v>
      </c>
      <c r="F119" s="582"/>
      <c r="G119" s="609"/>
      <c r="J119" s="577"/>
      <c r="K119" s="576"/>
    </row>
    <row r="120" spans="1:11" s="257" customFormat="1" ht="24.95" customHeight="1">
      <c r="A120" s="606"/>
      <c r="B120" s="607" t="s">
        <v>3605</v>
      </c>
      <c r="C120" s="608" t="s">
        <v>4345</v>
      </c>
      <c r="D120" s="591">
        <f>+'SP Attivo Alim'!I93+'SP Attivo Alim'!I94+'SP Attivo Alim'!I95-'Alimentazione SP P'!I83</f>
        <v>1097</v>
      </c>
      <c r="E120" s="591">
        <f>+'SP Attivo Alim'!J93+'SP Attivo Alim'!J94+'SP Attivo Alim'!J95-'Alimentazione SP P'!J83</f>
        <v>0</v>
      </c>
      <c r="F120" s="582"/>
      <c r="G120" s="609"/>
      <c r="J120" s="577"/>
      <c r="K120" s="576"/>
    </row>
    <row r="121" spans="1:11" s="257" customFormat="1" ht="24.95" customHeight="1">
      <c r="A121" s="594"/>
      <c r="B121" s="584" t="s">
        <v>4046</v>
      </c>
      <c r="C121" s="585" t="s">
        <v>4346</v>
      </c>
      <c r="D121" s="586">
        <f>+D122+D133+D140+D141</f>
        <v>6671951</v>
      </c>
      <c r="E121" s="586">
        <f>+E122+E133+E140+E141</f>
        <v>13362960</v>
      </c>
      <c r="F121" s="582"/>
      <c r="G121" s="609"/>
      <c r="J121" s="577"/>
      <c r="K121" s="576"/>
    </row>
    <row r="122" spans="1:11" s="257" customFormat="1" ht="24.95" customHeight="1">
      <c r="A122" s="613"/>
      <c r="B122" s="614" t="s">
        <v>4048</v>
      </c>
      <c r="C122" s="615" t="s">
        <v>4347</v>
      </c>
      <c r="D122" s="616">
        <f>SUM(D123:D132)</f>
        <v>1011515</v>
      </c>
      <c r="E122" s="616">
        <f>SUM(E123:E132)</f>
        <v>7510780</v>
      </c>
      <c r="F122" s="582"/>
      <c r="G122" s="609"/>
      <c r="J122" s="577"/>
      <c r="K122" s="576"/>
    </row>
    <row r="123" spans="1:11" s="257" customFormat="1" ht="33.75" customHeight="1">
      <c r="A123" s="606" t="s">
        <v>4348</v>
      </c>
      <c r="B123" s="607" t="s">
        <v>3607</v>
      </c>
      <c r="C123" s="608" t="s">
        <v>4349</v>
      </c>
      <c r="D123" s="591">
        <f>+'SP Attivo Alim'!I98-'Alimentazione SP P'!I84</f>
        <v>0</v>
      </c>
      <c r="E123" s="591">
        <f>+'SP Attivo Alim'!J98-'Alimentazione SP P'!J84</f>
        <v>0</v>
      </c>
      <c r="F123" s="582"/>
      <c r="G123" s="609"/>
      <c r="J123" s="577"/>
      <c r="K123" s="576"/>
    </row>
    <row r="124" spans="1:11" s="257" customFormat="1" ht="33.75" customHeight="1">
      <c r="A124" s="606" t="s">
        <v>1522</v>
      </c>
      <c r="B124" s="607" t="s">
        <v>3609</v>
      </c>
      <c r="C124" s="608" t="s">
        <v>4350</v>
      </c>
      <c r="D124" s="591">
        <f>+'SP Attivo Alim'!I99-'Alimentazione SP P'!I85</f>
        <v>0</v>
      </c>
      <c r="E124" s="591">
        <f>+'SP Attivo Alim'!J99-'Alimentazione SP P'!J85</f>
        <v>0</v>
      </c>
      <c r="F124" s="582"/>
      <c r="G124" s="609"/>
      <c r="J124" s="577"/>
      <c r="K124" s="576"/>
    </row>
    <row r="125" spans="1:11" s="610" customFormat="1" ht="33.75" customHeight="1">
      <c r="A125" s="606" t="s">
        <v>4348</v>
      </c>
      <c r="B125" s="607" t="s">
        <v>3611</v>
      </c>
      <c r="C125" s="617" t="s">
        <v>4351</v>
      </c>
      <c r="D125" s="591">
        <f>+'SP Attivo Alim'!I100-'Alimentazione SP P'!I86</f>
        <v>526805</v>
      </c>
      <c r="E125" s="591">
        <f>+'SP Attivo Alim'!J100-'Alimentazione SP P'!J86</f>
        <v>5194510</v>
      </c>
      <c r="F125" s="257"/>
      <c r="G125" s="609"/>
      <c r="J125" s="577"/>
      <c r="K125" s="576"/>
    </row>
    <row r="126" spans="1:11" s="257" customFormat="1" ht="33.75" customHeight="1">
      <c r="A126" s="606" t="s">
        <v>4348</v>
      </c>
      <c r="B126" s="607" t="s">
        <v>3613</v>
      </c>
      <c r="C126" s="608" t="s">
        <v>4352</v>
      </c>
      <c r="D126" s="591">
        <f>+'SP Attivo Alim'!I101-'Alimentazione SP P'!I87</f>
        <v>0</v>
      </c>
      <c r="E126" s="591">
        <f>+'SP Attivo Alim'!J101-'Alimentazione SP P'!J87</f>
        <v>0</v>
      </c>
      <c r="F126" s="610"/>
      <c r="G126" s="611"/>
      <c r="J126" s="577"/>
      <c r="K126" s="576"/>
    </row>
    <row r="127" spans="1:11" s="257" customFormat="1" ht="33.75" customHeight="1">
      <c r="A127" s="606" t="s">
        <v>4348</v>
      </c>
      <c r="B127" s="607" t="s">
        <v>3615</v>
      </c>
      <c r="C127" s="608" t="s">
        <v>4353</v>
      </c>
      <c r="D127" s="591">
        <f>+'SP Attivo Alim'!I102-'Alimentazione SP P'!I88</f>
        <v>0</v>
      </c>
      <c r="E127" s="591">
        <f>+'SP Attivo Alim'!J102-'Alimentazione SP P'!J88</f>
        <v>0</v>
      </c>
      <c r="F127" s="610"/>
      <c r="G127" s="611"/>
      <c r="J127" s="577"/>
      <c r="K127" s="576"/>
    </row>
    <row r="128" spans="1:11" s="257" customFormat="1" ht="33.75" customHeight="1">
      <c r="A128" s="606" t="s">
        <v>4348</v>
      </c>
      <c r="B128" s="607" t="s">
        <v>3617</v>
      </c>
      <c r="C128" s="608" t="s">
        <v>4354</v>
      </c>
      <c r="D128" s="591">
        <f>+'SP Attivo Alim'!I103-'Alimentazione SP P'!I89</f>
        <v>0</v>
      </c>
      <c r="E128" s="591">
        <f>+'SP Attivo Alim'!J103-'Alimentazione SP P'!J89</f>
        <v>0</v>
      </c>
      <c r="F128" s="610"/>
      <c r="G128" s="611"/>
      <c r="J128" s="577"/>
      <c r="K128" s="576"/>
    </row>
    <row r="129" spans="1:11" s="257" customFormat="1" ht="33.75" customHeight="1">
      <c r="A129" s="606" t="s">
        <v>4348</v>
      </c>
      <c r="B129" s="607" t="s">
        <v>3619</v>
      </c>
      <c r="C129" s="608" t="s">
        <v>4355</v>
      </c>
      <c r="D129" s="591">
        <f>+'SP Attivo Alim'!I105+'SP Attivo Alim'!I106+'SP Attivo Alim'!I107-'Alimentazione SP P'!I90</f>
        <v>240133</v>
      </c>
      <c r="E129" s="591">
        <f>+'SP Attivo Alim'!J105+'SP Attivo Alim'!J106+'SP Attivo Alim'!J107-'Alimentazione SP P'!J90</f>
        <v>1294681</v>
      </c>
      <c r="F129" s="610"/>
      <c r="G129" s="611"/>
      <c r="J129" s="577"/>
      <c r="K129" s="576"/>
    </row>
    <row r="130" spans="1:11" s="610" customFormat="1" ht="33.75" customHeight="1">
      <c r="A130" s="618" t="s">
        <v>4348</v>
      </c>
      <c r="B130" s="607" t="s">
        <v>3621</v>
      </c>
      <c r="C130" s="617" t="s">
        <v>4356</v>
      </c>
      <c r="D130" s="591">
        <f>+'SP Attivo Alim'!I108-'Alimentazione SP P'!I91</f>
        <v>0</v>
      </c>
      <c r="E130" s="591">
        <f>+'SP Attivo Alim'!J108-'Alimentazione SP P'!J91</f>
        <v>0</v>
      </c>
      <c r="G130" s="609"/>
      <c r="J130" s="577"/>
      <c r="K130" s="576"/>
    </row>
    <row r="131" spans="1:11" s="257" customFormat="1" ht="33.75" customHeight="1">
      <c r="A131" s="618" t="s">
        <v>4348</v>
      </c>
      <c r="B131" s="607" t="s">
        <v>3623</v>
      </c>
      <c r="C131" s="617" t="s">
        <v>4357</v>
      </c>
      <c r="D131" s="591">
        <f>+'SP Attivo Alim'!I110+'SP Attivo Alim'!I111+'SP Attivo Alim'!I112+'SP Attivo Alim'!I113-'Alimentazione SP P'!I92</f>
        <v>244577</v>
      </c>
      <c r="E131" s="591">
        <f>+'SP Attivo Alim'!J110+'SP Attivo Alim'!J111+'SP Attivo Alim'!J112+'SP Attivo Alim'!J113-'Alimentazione SP P'!J92</f>
        <v>958581</v>
      </c>
      <c r="F131" s="610"/>
      <c r="G131" s="611"/>
      <c r="J131" s="577"/>
      <c r="K131" s="576"/>
    </row>
    <row r="132" spans="1:11" s="610" customFormat="1" ht="33.75" customHeight="1">
      <c r="A132" s="618" t="s">
        <v>4348</v>
      </c>
      <c r="B132" s="607" t="s">
        <v>3625</v>
      </c>
      <c r="C132" s="617" t="s">
        <v>4358</v>
      </c>
      <c r="D132" s="591">
        <f>+'SP Attivo Alim'!I114-'Alimentazione SP P'!I93</f>
        <v>0</v>
      </c>
      <c r="E132" s="591">
        <f>+'SP Attivo Alim'!J114-'Alimentazione SP P'!J93</f>
        <v>63008</v>
      </c>
      <c r="G132" s="609"/>
      <c r="J132" s="577"/>
      <c r="K132" s="576"/>
    </row>
    <row r="133" spans="1:11" s="593" customFormat="1" ht="33.75" customHeight="1">
      <c r="A133" s="619"/>
      <c r="B133" s="614" t="s">
        <v>4064</v>
      </c>
      <c r="C133" s="620" t="s">
        <v>4359</v>
      </c>
      <c r="D133" s="616">
        <f>SUM(D134:D139)</f>
        <v>5660436</v>
      </c>
      <c r="E133" s="616">
        <f>SUM(E134:E139)</f>
        <v>5852180</v>
      </c>
      <c r="F133" s="621"/>
      <c r="G133" s="622"/>
      <c r="J133" s="577"/>
      <c r="K133" s="576"/>
    </row>
    <row r="134" spans="1:11" s="593" customFormat="1" ht="33.75" customHeight="1">
      <c r="A134" s="623" t="s">
        <v>4348</v>
      </c>
      <c r="B134" s="589" t="s">
        <v>3627</v>
      </c>
      <c r="C134" s="624" t="s">
        <v>4360</v>
      </c>
      <c r="D134" s="591">
        <f>+'SP Attivo Alim'!I116-'Alimentazione SP P'!I94</f>
        <v>5660436</v>
      </c>
      <c r="E134" s="591">
        <f>+'SP Attivo Alim'!J116-'Alimentazione SP P'!J94</f>
        <v>5852180</v>
      </c>
      <c r="F134" s="621"/>
      <c r="G134" s="622"/>
      <c r="J134" s="577"/>
      <c r="K134" s="576"/>
    </row>
    <row r="135" spans="1:11" s="593" customFormat="1" ht="33.75" customHeight="1">
      <c r="A135" s="623" t="s">
        <v>4348</v>
      </c>
      <c r="B135" s="589" t="s">
        <v>3629</v>
      </c>
      <c r="C135" s="590" t="s">
        <v>4361</v>
      </c>
      <c r="D135" s="591">
        <f>+'SP Attivo Alim'!I117-'Alimentazione SP P'!I95</f>
        <v>0</v>
      </c>
      <c r="E135" s="591">
        <f>+'SP Attivo Alim'!J117-'Alimentazione SP P'!J95</f>
        <v>0</v>
      </c>
      <c r="F135" s="621"/>
      <c r="G135" s="622"/>
      <c r="J135" s="577"/>
      <c r="K135" s="576"/>
    </row>
    <row r="136" spans="1:11" s="593" customFormat="1" ht="33.75" customHeight="1">
      <c r="A136" s="623" t="s">
        <v>4348</v>
      </c>
      <c r="B136" s="589" t="s">
        <v>3631</v>
      </c>
      <c r="C136" s="624" t="s">
        <v>4362</v>
      </c>
      <c r="D136" s="591">
        <f>+'SP Attivo Alim'!I118-'Alimentazione SP P'!I96</f>
        <v>0</v>
      </c>
      <c r="E136" s="591">
        <f>+'SP Attivo Alim'!J118-'Alimentazione SP P'!J96</f>
        <v>0</v>
      </c>
      <c r="F136" s="621"/>
      <c r="G136" s="622"/>
      <c r="J136" s="577"/>
      <c r="K136" s="576"/>
    </row>
    <row r="137" spans="1:11" s="593" customFormat="1" ht="33.75" customHeight="1">
      <c r="A137" s="618" t="s">
        <v>4348</v>
      </c>
      <c r="B137" s="607" t="s">
        <v>4069</v>
      </c>
      <c r="C137" s="617" t="s">
        <v>4363</v>
      </c>
      <c r="D137" s="591">
        <f>+'SP Attivo Alim'!I119</f>
        <v>0</v>
      </c>
      <c r="E137" s="591">
        <f>+'SP Attivo Alim'!J119</f>
        <v>0</v>
      </c>
      <c r="F137" s="621"/>
      <c r="G137" s="622"/>
      <c r="J137" s="577"/>
      <c r="K137" s="576"/>
    </row>
    <row r="138" spans="1:11" s="593" customFormat="1" ht="33.75" customHeight="1">
      <c r="A138" s="618" t="s">
        <v>4348</v>
      </c>
      <c r="B138" s="607" t="s">
        <v>3633</v>
      </c>
      <c r="C138" s="617" t="s">
        <v>4364</v>
      </c>
      <c r="D138" s="591">
        <f>+'SP Attivo Alim'!I120-'Alimentazione SP P'!I97</f>
        <v>0</v>
      </c>
      <c r="E138" s="591">
        <f>+'SP Attivo Alim'!J120-'Alimentazione SP P'!J97</f>
        <v>0</v>
      </c>
      <c r="F138" s="621"/>
      <c r="G138" s="622"/>
      <c r="J138" s="577"/>
      <c r="K138" s="576"/>
    </row>
    <row r="139" spans="1:11" s="593" customFormat="1" ht="33.75" customHeight="1">
      <c r="A139" s="618" t="s">
        <v>4348</v>
      </c>
      <c r="B139" s="607" t="s">
        <v>3635</v>
      </c>
      <c r="C139" s="617" t="s">
        <v>4365</v>
      </c>
      <c r="D139" s="591">
        <f>+'SP Attivo Alim'!I121-'Alimentazione SP P'!I98</f>
        <v>0</v>
      </c>
      <c r="E139" s="591">
        <f>+'SP Attivo Alim'!J121-'Alimentazione SP P'!J98</f>
        <v>0</v>
      </c>
      <c r="F139" s="621"/>
      <c r="G139" s="622"/>
      <c r="J139" s="577"/>
      <c r="K139" s="576"/>
    </row>
    <row r="140" spans="1:11" s="621" customFormat="1" ht="33.75" customHeight="1">
      <c r="A140" s="625"/>
      <c r="B140" s="589" t="s">
        <v>4073</v>
      </c>
      <c r="C140" s="624" t="s">
        <v>4366</v>
      </c>
      <c r="D140" s="591">
        <f>+'SP Attivo Alim'!I122</f>
        <v>0</v>
      </c>
      <c r="E140" s="591">
        <f>+'SP Attivo Alim'!J122</f>
        <v>0</v>
      </c>
      <c r="G140" s="592"/>
      <c r="J140" s="577"/>
      <c r="K140" s="576"/>
    </row>
    <row r="141" spans="1:11" s="621" customFormat="1" ht="33.75" customHeight="1">
      <c r="A141" s="625" t="s">
        <v>4348</v>
      </c>
      <c r="B141" s="589" t="s">
        <v>4075</v>
      </c>
      <c r="C141" s="624" t="s">
        <v>4367</v>
      </c>
      <c r="D141" s="591">
        <f>+'SP Attivo Alim'!I123</f>
        <v>0</v>
      </c>
      <c r="E141" s="591">
        <f>+'SP Attivo Alim'!J123</f>
        <v>0</v>
      </c>
      <c r="G141" s="592"/>
      <c r="J141" s="577"/>
      <c r="K141" s="576"/>
    </row>
    <row r="142" spans="1:11" s="593" customFormat="1" ht="24.95" customHeight="1">
      <c r="A142" s="588"/>
      <c r="B142" s="595" t="s">
        <v>3637</v>
      </c>
      <c r="C142" s="596" t="s">
        <v>4368</v>
      </c>
      <c r="D142" s="591">
        <f>+'SP Attivo Alim'!I125+'SP Attivo Alim'!I126+'SP Attivo Alim'!I127-'Alimentazione SP P'!I99</f>
        <v>0</v>
      </c>
      <c r="E142" s="591">
        <f>+'SP Attivo Alim'!J125+'SP Attivo Alim'!J126+'SP Attivo Alim'!J127-'Alimentazione SP P'!J99</f>
        <v>0</v>
      </c>
      <c r="F142" s="574"/>
      <c r="G142" s="592"/>
      <c r="J142" s="577"/>
      <c r="K142" s="576"/>
    </row>
    <row r="143" spans="1:11" s="593" customFormat="1" ht="24.95" customHeight="1">
      <c r="A143" s="626"/>
      <c r="B143" s="584" t="s">
        <v>4079</v>
      </c>
      <c r="C143" s="585" t="s">
        <v>4369</v>
      </c>
      <c r="D143" s="586">
        <f>+D144+D148+D149+D150+D151</f>
        <v>7788963</v>
      </c>
      <c r="E143" s="586">
        <f>+E144+E148+E149+E150+E151</f>
        <v>6777967</v>
      </c>
      <c r="F143" s="574"/>
      <c r="G143" s="592"/>
      <c r="J143" s="577"/>
      <c r="K143" s="576"/>
    </row>
    <row r="144" spans="1:11" s="593" customFormat="1" ht="24.95" customHeight="1">
      <c r="A144" s="613"/>
      <c r="B144" s="614" t="s">
        <v>4370</v>
      </c>
      <c r="C144" s="615" t="s">
        <v>4371</v>
      </c>
      <c r="D144" s="616">
        <f>+D145+D146+D147</f>
        <v>7095641</v>
      </c>
      <c r="E144" s="616">
        <f>+E145+E146+E147</f>
        <v>6507412</v>
      </c>
      <c r="F144" s="621"/>
      <c r="G144" s="622"/>
      <c r="J144" s="577"/>
      <c r="K144" s="576"/>
    </row>
    <row r="145" spans="1:11" s="593" customFormat="1" ht="24.95" customHeight="1">
      <c r="A145" s="588" t="s">
        <v>1522</v>
      </c>
      <c r="B145" s="589" t="s">
        <v>3638</v>
      </c>
      <c r="C145" s="590" t="s">
        <v>4372</v>
      </c>
      <c r="D145" s="591">
        <f>+'SP Attivo Alim'!I130</f>
        <v>0</v>
      </c>
      <c r="E145" s="591">
        <f>+'SP Attivo Alim'!J130</f>
        <v>0</v>
      </c>
      <c r="F145" s="621"/>
      <c r="G145" s="622"/>
      <c r="J145" s="577"/>
      <c r="K145" s="576"/>
    </row>
    <row r="146" spans="1:11" s="593" customFormat="1" ht="24.95" customHeight="1">
      <c r="A146" s="606" t="s">
        <v>1522</v>
      </c>
      <c r="B146" s="607" t="s">
        <v>3639</v>
      </c>
      <c r="C146" s="608" t="s">
        <v>4373</v>
      </c>
      <c r="D146" s="591">
        <f>+'SP Attivo Alim'!I132+'SP Attivo Alim'!I133+'SP Attivo Alim'!I134</f>
        <v>3187660</v>
      </c>
      <c r="E146" s="591">
        <f>+'SP Attivo Alim'!J132+'SP Attivo Alim'!J133+'SP Attivo Alim'!J134</f>
        <v>2497303</v>
      </c>
      <c r="F146" s="621"/>
      <c r="G146" s="622"/>
      <c r="J146" s="577"/>
      <c r="K146" s="576"/>
    </row>
    <row r="147" spans="1:11" s="593" customFormat="1" ht="24.95" customHeight="1">
      <c r="A147" s="606" t="s">
        <v>1522</v>
      </c>
      <c r="B147" s="607" t="s">
        <v>3640</v>
      </c>
      <c r="C147" s="608" t="s">
        <v>4374</v>
      </c>
      <c r="D147" s="591">
        <f>+'SP Attivo Alim'!I136+'SP Attivo Alim'!I137+'SP Attivo Alim'!I138</f>
        <v>3907981</v>
      </c>
      <c r="E147" s="591">
        <f>+'SP Attivo Alim'!J136+'SP Attivo Alim'!J137+'SP Attivo Alim'!J138</f>
        <v>4010109</v>
      </c>
      <c r="F147" s="621"/>
      <c r="G147" s="622"/>
      <c r="J147" s="577"/>
      <c r="K147" s="576"/>
    </row>
    <row r="148" spans="1:11" s="593" customFormat="1" ht="24.95" customHeight="1">
      <c r="A148" s="606" t="s">
        <v>4348</v>
      </c>
      <c r="B148" s="607" t="s">
        <v>3641</v>
      </c>
      <c r="C148" s="608" t="s">
        <v>4375</v>
      </c>
      <c r="D148" s="591">
        <f>+'SP Attivo Alim'!I139</f>
        <v>0</v>
      </c>
      <c r="E148" s="591">
        <f>+'SP Attivo Alim'!J139</f>
        <v>0</v>
      </c>
      <c r="F148" s="621"/>
      <c r="G148" s="622"/>
      <c r="J148" s="577"/>
      <c r="K148" s="576"/>
    </row>
    <row r="149" spans="1:11" s="593" customFormat="1" ht="26.25" customHeight="1">
      <c r="A149" s="606" t="s">
        <v>4348</v>
      </c>
      <c r="B149" s="607" t="s">
        <v>4087</v>
      </c>
      <c r="C149" s="608" t="s">
        <v>4376</v>
      </c>
      <c r="D149" s="591">
        <f>+'SP Attivo Alim'!I140</f>
        <v>0</v>
      </c>
      <c r="E149" s="591">
        <f>+'SP Attivo Alim'!J140</f>
        <v>0</v>
      </c>
      <c r="F149" s="621"/>
      <c r="G149" s="622"/>
      <c r="J149" s="577"/>
      <c r="K149" s="576"/>
    </row>
    <row r="150" spans="1:11" s="593" customFormat="1" ht="24.95" customHeight="1">
      <c r="A150" s="606" t="s">
        <v>1571</v>
      </c>
      <c r="B150" s="607" t="s">
        <v>3643</v>
      </c>
      <c r="C150" s="608" t="s">
        <v>4377</v>
      </c>
      <c r="D150" s="591">
        <f>+'SP Attivo Alim'!I142+'SP Attivo Alim'!I143+'SP Attivo Alim'!I144-'Alimentazione SP P'!I100</f>
        <v>693322</v>
      </c>
      <c r="E150" s="591">
        <f>+'SP Attivo Alim'!J142+'SP Attivo Alim'!J143+'SP Attivo Alim'!J144-'Alimentazione SP P'!J100</f>
        <v>270555</v>
      </c>
      <c r="F150" s="621"/>
      <c r="G150" s="622"/>
      <c r="J150" s="577"/>
      <c r="K150" s="576"/>
    </row>
    <row r="151" spans="1:11" s="593" customFormat="1" ht="24.95" customHeight="1">
      <c r="A151" s="618" t="s">
        <v>1522</v>
      </c>
      <c r="B151" s="607" t="s">
        <v>4090</v>
      </c>
      <c r="C151" s="86" t="s">
        <v>4378</v>
      </c>
      <c r="D151" s="591">
        <f>+'SP Attivo Alim'!I145</f>
        <v>0</v>
      </c>
      <c r="E151" s="591">
        <f>+'SP Attivo Alim'!J145</f>
        <v>0</v>
      </c>
      <c r="F151" s="621"/>
      <c r="G151" s="622"/>
      <c r="J151" s="577"/>
      <c r="K151" s="576"/>
    </row>
    <row r="152" spans="1:11" s="593" customFormat="1" ht="24.95" customHeight="1">
      <c r="A152" s="594"/>
      <c r="B152" s="584" t="s">
        <v>4379</v>
      </c>
      <c r="C152" s="585" t="s">
        <v>4380</v>
      </c>
      <c r="D152" s="586">
        <f>+D153+D154+D155</f>
        <v>0</v>
      </c>
      <c r="E152" s="586">
        <f>+E153+E154+E155</f>
        <v>0</v>
      </c>
      <c r="F152" s="574"/>
      <c r="G152" s="592"/>
      <c r="J152" s="577"/>
      <c r="K152" s="576"/>
    </row>
    <row r="153" spans="1:11" s="593" customFormat="1" ht="24.95" customHeight="1">
      <c r="A153" s="588"/>
      <c r="B153" s="589" t="s">
        <v>3645</v>
      </c>
      <c r="C153" s="590" t="s">
        <v>4381</v>
      </c>
      <c r="D153" s="591">
        <f>+'SP Attivo Alim'!I147-'Alimentazione SP P'!I101</f>
        <v>0</v>
      </c>
      <c r="E153" s="591">
        <f>+'SP Attivo Alim'!J147-'Alimentazione SP P'!J101</f>
        <v>0</v>
      </c>
      <c r="F153" s="574"/>
      <c r="G153" s="592"/>
      <c r="J153" s="577"/>
      <c r="K153" s="576"/>
    </row>
    <row r="154" spans="1:11" s="593" customFormat="1" ht="24.95" customHeight="1">
      <c r="A154" s="588"/>
      <c r="B154" s="589" t="s">
        <v>3647</v>
      </c>
      <c r="C154" s="590" t="s">
        <v>4382</v>
      </c>
      <c r="D154" s="591">
        <f>+'SP Attivo Alim'!I148-'Alimentazione SP P'!I102</f>
        <v>0</v>
      </c>
      <c r="E154" s="591">
        <f>+'SP Attivo Alim'!J148-'Alimentazione SP P'!J102</f>
        <v>0</v>
      </c>
      <c r="F154" s="574"/>
      <c r="G154" s="592"/>
      <c r="J154" s="577"/>
      <c r="K154" s="576"/>
    </row>
    <row r="155" spans="1:11" s="593" customFormat="1" ht="24.95" customHeight="1">
      <c r="A155" s="588"/>
      <c r="B155" s="589" t="s">
        <v>3649</v>
      </c>
      <c r="C155" s="590" t="s">
        <v>4383</v>
      </c>
      <c r="D155" s="591">
        <f>+'SP Attivo Alim'!I150+'SP Attivo Alim'!I151+'SP Attivo Alim'!I152-'Alimentazione SP P'!I103</f>
        <v>0</v>
      </c>
      <c r="E155" s="591">
        <f>+'SP Attivo Alim'!J150+'SP Attivo Alim'!J151+'SP Attivo Alim'!J152-'Alimentazione SP P'!J103</f>
        <v>0</v>
      </c>
      <c r="F155" s="574"/>
      <c r="G155" s="592"/>
      <c r="J155" s="577"/>
      <c r="K155" s="576"/>
    </row>
    <row r="156" spans="1:11" s="593" customFormat="1" ht="24.95" customHeight="1">
      <c r="A156" s="588"/>
      <c r="B156" s="595" t="s">
        <v>3651</v>
      </c>
      <c r="C156" s="596" t="s">
        <v>4384</v>
      </c>
      <c r="D156" s="591">
        <f>+'SP Attivo Alim'!I154+'SP Attivo Alim'!I155+'SP Attivo Alim'!I156+'SP Attivo Alim'!I157+'SP Attivo Alim'!I158+'SP Attivo Alim'!I159-'Alimentazione SP P'!I104</f>
        <v>0</v>
      </c>
      <c r="E156" s="591">
        <f>+'SP Attivo Alim'!J154+'SP Attivo Alim'!J155+'SP Attivo Alim'!J156+'SP Attivo Alim'!J157+'SP Attivo Alim'!J158+'SP Attivo Alim'!J159-'Alimentazione SP P'!J104</f>
        <v>0</v>
      </c>
      <c r="F156" s="574"/>
      <c r="G156" s="592"/>
      <c r="J156" s="577"/>
      <c r="K156" s="576"/>
    </row>
    <row r="157" spans="1:11" s="593" customFormat="1" ht="24.95" customHeight="1">
      <c r="A157" s="594"/>
      <c r="B157" s="584" t="s">
        <v>4385</v>
      </c>
      <c r="C157" s="585" t="s">
        <v>4386</v>
      </c>
      <c r="D157" s="586">
        <f>+D158+D159+D160+D161+D162+D165</f>
        <v>3504807</v>
      </c>
      <c r="E157" s="586">
        <f>+E158+E159+E160+E161+E162+E165</f>
        <v>2911882</v>
      </c>
      <c r="F157" s="574"/>
      <c r="G157" s="592"/>
      <c r="J157" s="577"/>
      <c r="K157" s="576"/>
    </row>
    <row r="158" spans="1:11" s="593" customFormat="1" ht="24.95" customHeight="1">
      <c r="A158" s="588"/>
      <c r="B158" s="589" t="s">
        <v>3653</v>
      </c>
      <c r="C158" s="590" t="s">
        <v>4387</v>
      </c>
      <c r="D158" s="591">
        <f>+'SP Attivo Alim'!I162+'SP Attivo Alim'!I163+'SP Attivo Alim'!I164+'SP Attivo Alim'!I165+'SP Attivo Alim'!I166-'Alimentazione SP P'!I105</f>
        <v>962020</v>
      </c>
      <c r="E158" s="591">
        <f>+'SP Attivo Alim'!J162+'SP Attivo Alim'!J163+'SP Attivo Alim'!J164+'SP Attivo Alim'!J165+'SP Attivo Alim'!J166-'Alimentazione SP P'!J105</f>
        <v>987563</v>
      </c>
      <c r="F158" s="574"/>
      <c r="G158" s="592"/>
      <c r="J158" s="577"/>
      <c r="K158" s="576"/>
    </row>
    <row r="159" spans="1:11" s="593" customFormat="1" ht="24.95" customHeight="1">
      <c r="A159" s="588"/>
      <c r="B159" s="589" t="s">
        <v>3655</v>
      </c>
      <c r="C159" s="590" t="s">
        <v>4388</v>
      </c>
      <c r="D159" s="591">
        <f>+'SP Attivo Alim'!I167-'Alimentazione SP P'!I106</f>
        <v>0</v>
      </c>
      <c r="E159" s="591">
        <f>+'SP Attivo Alim'!J167-'Alimentazione SP P'!J106</f>
        <v>0</v>
      </c>
      <c r="F159" s="574"/>
      <c r="G159" s="592"/>
      <c r="J159" s="577"/>
      <c r="K159" s="576"/>
    </row>
    <row r="160" spans="1:11" s="593" customFormat="1" ht="24.95" customHeight="1">
      <c r="A160" s="588"/>
      <c r="B160" s="589" t="s">
        <v>3657</v>
      </c>
      <c r="C160" s="590" t="s">
        <v>4389</v>
      </c>
      <c r="D160" s="591">
        <f>+'SP Attivo Alim'!I169+'SP Attivo Alim'!I170+'SP Attivo Alim'!I171+'SP Attivo Alim'!I172-'Alimentazione SP P'!I107</f>
        <v>585765</v>
      </c>
      <c r="E160" s="591">
        <f>+'SP Attivo Alim'!J169+'SP Attivo Alim'!J170+'SP Attivo Alim'!J171+'SP Attivo Alim'!J172-'Alimentazione SP P'!J107</f>
        <v>121813</v>
      </c>
      <c r="F160" s="574"/>
      <c r="G160" s="592"/>
      <c r="J160" s="577"/>
      <c r="K160" s="576"/>
    </row>
    <row r="161" spans="1:11" s="593" customFormat="1" ht="24.95" customHeight="1">
      <c r="A161" s="588"/>
      <c r="B161" s="589" t="s">
        <v>3659</v>
      </c>
      <c r="C161" s="590" t="s">
        <v>4390</v>
      </c>
      <c r="D161" s="591">
        <f>+'SP Attivo Alim'!I173-'Alimentazione SP P'!I108</f>
        <v>0</v>
      </c>
      <c r="E161" s="591">
        <f>+'SP Attivo Alim'!J173-'Alimentazione SP P'!J108</f>
        <v>38500</v>
      </c>
      <c r="F161" s="574"/>
      <c r="G161" s="592"/>
      <c r="J161" s="577"/>
      <c r="K161" s="576"/>
    </row>
    <row r="162" spans="1:11" s="593" customFormat="1" ht="24.95" customHeight="1">
      <c r="A162" s="613"/>
      <c r="B162" s="614" t="s">
        <v>3661</v>
      </c>
      <c r="C162" s="615" t="s">
        <v>4391</v>
      </c>
      <c r="D162" s="616">
        <f>+D163+D164</f>
        <v>1957022</v>
      </c>
      <c r="E162" s="616">
        <f>+E163+E164</f>
        <v>1764006</v>
      </c>
      <c r="F162" s="574"/>
      <c r="G162" s="592"/>
      <c r="J162" s="577"/>
      <c r="K162" s="576"/>
    </row>
    <row r="163" spans="1:11" s="593" customFormat="1" ht="24.95" customHeight="1">
      <c r="A163" s="597"/>
      <c r="B163" s="627" t="s">
        <v>3663</v>
      </c>
      <c r="C163" s="628" t="s">
        <v>4392</v>
      </c>
      <c r="D163" s="591">
        <f>+'SP Attivo Alim'!I177+'SP Attivo Alim'!I178+'SP Attivo Alim'!I179+'SP Attivo Alim'!I180+'SP Attivo Alim'!I181+'SP Attivo Alim'!I182-'Alimentazione SP P'!I109</f>
        <v>1957022</v>
      </c>
      <c r="E163" s="591">
        <f>+'SP Attivo Alim'!J177+'SP Attivo Alim'!J178+'SP Attivo Alim'!J179+'SP Attivo Alim'!J180+'SP Attivo Alim'!J181+'SP Attivo Alim'!J182-'Alimentazione SP P'!J109</f>
        <v>1764006</v>
      </c>
      <c r="F163" s="574"/>
      <c r="G163" s="592"/>
      <c r="J163" s="577"/>
      <c r="K163" s="576"/>
    </row>
    <row r="164" spans="1:11" s="593" customFormat="1" ht="24.95" customHeight="1">
      <c r="A164" s="588"/>
      <c r="B164" s="629" t="s">
        <v>4117</v>
      </c>
      <c r="C164" s="630" t="s">
        <v>4393</v>
      </c>
      <c r="D164" s="591">
        <f>+'SP Attivo Alim'!I183</f>
        <v>0</v>
      </c>
      <c r="E164" s="591">
        <f>+'SP Attivo Alim'!J183</f>
        <v>0</v>
      </c>
      <c r="F164" s="574"/>
      <c r="G164" s="592"/>
      <c r="J164" s="577"/>
      <c r="K164" s="576"/>
    </row>
    <row r="165" spans="1:11" s="593" customFormat="1" ht="24.95" customHeight="1">
      <c r="A165" s="613"/>
      <c r="B165" s="631" t="s">
        <v>4119</v>
      </c>
      <c r="C165" s="632" t="s">
        <v>4394</v>
      </c>
      <c r="D165" s="616">
        <f>+D166+D167</f>
        <v>0</v>
      </c>
      <c r="E165" s="616">
        <f>+E166+E167</f>
        <v>0</v>
      </c>
      <c r="F165" s="574"/>
      <c r="G165" s="592"/>
      <c r="J165" s="577"/>
      <c r="K165" s="576"/>
    </row>
    <row r="166" spans="1:11" s="593" customFormat="1" ht="24.95" customHeight="1">
      <c r="A166" s="597"/>
      <c r="B166" s="627" t="s">
        <v>4120</v>
      </c>
      <c r="C166" s="630" t="s">
        <v>4395</v>
      </c>
      <c r="D166" s="591">
        <f>+'SP Attivo Alim'!I185-'Alimentazione SP P'!I110</f>
        <v>0</v>
      </c>
      <c r="E166" s="591">
        <f>+'SP Attivo Alim'!J185-'Alimentazione SP P'!J110</f>
        <v>0</v>
      </c>
      <c r="F166" s="574"/>
      <c r="G166" s="592"/>
      <c r="J166" s="577"/>
      <c r="K166" s="576"/>
    </row>
    <row r="167" spans="1:11" s="593" customFormat="1" ht="24.95" customHeight="1">
      <c r="A167" s="588"/>
      <c r="B167" s="627" t="s">
        <v>4122</v>
      </c>
      <c r="C167" s="630" t="s">
        <v>4396</v>
      </c>
      <c r="D167" s="591">
        <f>+'SP Attivo Alim'!I186</f>
        <v>0</v>
      </c>
      <c r="E167" s="591">
        <f>+'SP Attivo Alim'!J186</f>
        <v>0</v>
      </c>
      <c r="F167" s="574"/>
      <c r="G167" s="592"/>
      <c r="J167" s="577"/>
      <c r="K167" s="576"/>
    </row>
    <row r="168" spans="1:11" s="593" customFormat="1" ht="24.95" customHeight="1">
      <c r="A168" s="601"/>
      <c r="B168" s="633" t="s">
        <v>4397</v>
      </c>
      <c r="C168" s="634" t="s">
        <v>4398</v>
      </c>
      <c r="D168" s="635">
        <f>+D169+D170</f>
        <v>0</v>
      </c>
      <c r="E168" s="635">
        <f>+E169+E170</f>
        <v>0</v>
      </c>
      <c r="F168" s="574"/>
      <c r="G168" s="592"/>
      <c r="J168" s="577"/>
      <c r="K168" s="576"/>
    </row>
    <row r="169" spans="1:11" s="593" customFormat="1" ht="24.95" customHeight="1">
      <c r="A169" s="588"/>
      <c r="B169" s="595" t="s">
        <v>4125</v>
      </c>
      <c r="C169" s="596" t="s">
        <v>4399</v>
      </c>
      <c r="D169" s="591">
        <f>+'SP Attivo Alim'!I189+'SP Attivo Alim'!I190+'SP Attivo Alim'!I191</f>
        <v>0</v>
      </c>
      <c r="E169" s="591">
        <f>+'SP Attivo Alim'!J189+'SP Attivo Alim'!J190+'SP Attivo Alim'!J191</f>
        <v>0</v>
      </c>
      <c r="F169" s="574"/>
      <c r="G169" s="592"/>
      <c r="J169" s="577"/>
      <c r="K169" s="576"/>
    </row>
    <row r="170" spans="1:11" s="593" customFormat="1" ht="24.95" customHeight="1" thickBot="1">
      <c r="A170" s="598"/>
      <c r="B170" s="636" t="s">
        <v>4130</v>
      </c>
      <c r="C170" s="637" t="s">
        <v>4400</v>
      </c>
      <c r="D170" s="591">
        <f>+'SP Attivo Alim'!I192</f>
        <v>0</v>
      </c>
      <c r="E170" s="591">
        <f>+'SP Attivo Alim'!J192</f>
        <v>0</v>
      </c>
      <c r="F170" s="574"/>
      <c r="G170" s="592"/>
      <c r="J170" s="577"/>
      <c r="K170" s="576"/>
    </row>
    <row r="171" spans="1:11" s="593" customFormat="1" ht="24.95" customHeight="1">
      <c r="A171" s="601"/>
      <c r="B171" s="602" t="s">
        <v>4401</v>
      </c>
      <c r="C171" s="603" t="s">
        <v>4402</v>
      </c>
      <c r="D171" s="604">
        <f>+D172+D173+D174+D175</f>
        <v>38999112</v>
      </c>
      <c r="E171" s="604">
        <f>+E172+E173+E174+E175</f>
        <v>32313373</v>
      </c>
      <c r="F171" s="574"/>
      <c r="G171" s="592"/>
      <c r="J171" s="577"/>
      <c r="K171" s="576"/>
    </row>
    <row r="172" spans="1:11" s="593" customFormat="1" ht="24.95" customHeight="1">
      <c r="A172" s="588"/>
      <c r="B172" s="595" t="s">
        <v>4133</v>
      </c>
      <c r="C172" s="596" t="s">
        <v>4403</v>
      </c>
      <c r="D172" s="591">
        <f>+SUM('SP Attivo Alim'!I196:I213)</f>
        <v>42835</v>
      </c>
      <c r="E172" s="591">
        <f>+SUM('SP Attivo Alim'!J196:J213)</f>
        <v>38467</v>
      </c>
      <c r="F172" s="574"/>
      <c r="G172" s="592"/>
      <c r="J172" s="577"/>
      <c r="K172" s="576"/>
    </row>
    <row r="173" spans="1:11" s="593" customFormat="1" ht="24.95" customHeight="1">
      <c r="A173" s="588"/>
      <c r="B173" s="595" t="s">
        <v>4154</v>
      </c>
      <c r="C173" s="596" t="s">
        <v>4404</v>
      </c>
      <c r="D173" s="591">
        <f>+'SP Attivo Alim'!I215+'SP Attivo Alim'!I216+'SP Attivo Alim'!I217</f>
        <v>38955437</v>
      </c>
      <c r="E173" s="591">
        <f>+'SP Attivo Alim'!J215+'SP Attivo Alim'!J216+'SP Attivo Alim'!J217</f>
        <v>32271024</v>
      </c>
      <c r="F173" s="574"/>
      <c r="G173" s="592"/>
      <c r="J173" s="577"/>
      <c r="K173" s="576"/>
    </row>
    <row r="174" spans="1:11" s="593" customFormat="1" ht="24.95" customHeight="1">
      <c r="A174" s="588"/>
      <c r="B174" s="595" t="s">
        <v>4159</v>
      </c>
      <c r="C174" s="596" t="s">
        <v>4405</v>
      </c>
      <c r="D174" s="591">
        <f>+'SP Attivo Alim'!I218</f>
        <v>0</v>
      </c>
      <c r="E174" s="591">
        <f>+'SP Attivo Alim'!J218</f>
        <v>0</v>
      </c>
      <c r="F174" s="574"/>
      <c r="G174" s="592"/>
      <c r="J174" s="577"/>
      <c r="K174" s="576"/>
    </row>
    <row r="175" spans="1:11" s="593" customFormat="1" ht="24.95" customHeight="1" thickBot="1">
      <c r="A175" s="598"/>
      <c r="B175" s="636" t="s">
        <v>4161</v>
      </c>
      <c r="C175" s="637" t="s">
        <v>4406</v>
      </c>
      <c r="D175" s="591">
        <f>+SUM('SP Attivo Alim'!I220:I226)</f>
        <v>840</v>
      </c>
      <c r="E175" s="591">
        <f>+SUM('SP Attivo Alim'!J220:J226)</f>
        <v>3882</v>
      </c>
      <c r="F175" s="574"/>
      <c r="G175" s="592"/>
      <c r="J175" s="577"/>
      <c r="K175" s="576"/>
    </row>
    <row r="176" spans="1:11" s="593" customFormat="1" ht="24.95" customHeight="1">
      <c r="A176" s="570"/>
      <c r="B176" s="571" t="s">
        <v>4407</v>
      </c>
      <c r="C176" s="572" t="s">
        <v>4408</v>
      </c>
      <c r="D176" s="605">
        <f>+D177+D180</f>
        <v>34766</v>
      </c>
      <c r="E176" s="605">
        <f>+E177+E180</f>
        <v>97234</v>
      </c>
      <c r="F176" s="574"/>
      <c r="G176" s="592"/>
      <c r="J176" s="577"/>
      <c r="K176" s="576"/>
    </row>
    <row r="177" spans="1:11" s="593" customFormat="1" ht="24.95" customHeight="1">
      <c r="A177" s="578"/>
      <c r="B177" s="579" t="s">
        <v>4409</v>
      </c>
      <c r="C177" s="580" t="s">
        <v>4410</v>
      </c>
      <c r="D177" s="581">
        <f>+D178+D179</f>
        <v>4128</v>
      </c>
      <c r="E177" s="581">
        <f>+E178+E179</f>
        <v>56877</v>
      </c>
      <c r="F177" s="574"/>
      <c r="G177" s="592"/>
      <c r="J177" s="577"/>
      <c r="K177" s="576"/>
    </row>
    <row r="178" spans="1:11" s="593" customFormat="1" ht="24.95" customHeight="1">
      <c r="A178" s="588"/>
      <c r="B178" s="595" t="s">
        <v>4185</v>
      </c>
      <c r="C178" s="596" t="s">
        <v>4411</v>
      </c>
      <c r="D178" s="591">
        <f>+'SP Attivo Alim'!I242</f>
        <v>665</v>
      </c>
      <c r="E178" s="591">
        <f>+'SP Attivo Alim'!J242</f>
        <v>3161</v>
      </c>
      <c r="F178" s="574"/>
      <c r="G178" s="592"/>
      <c r="J178" s="577"/>
      <c r="K178" s="576"/>
    </row>
    <row r="179" spans="1:11" s="593" customFormat="1" ht="24.95" customHeight="1">
      <c r="A179" s="638" t="s">
        <v>1522</v>
      </c>
      <c r="B179" s="595" t="s">
        <v>4187</v>
      </c>
      <c r="C179" s="596" t="s">
        <v>4412</v>
      </c>
      <c r="D179" s="591">
        <f>+'SP Attivo Alim'!I243</f>
        <v>3463</v>
      </c>
      <c r="E179" s="591">
        <f>+'SP Attivo Alim'!J243</f>
        <v>53716</v>
      </c>
      <c r="F179" s="574"/>
      <c r="G179" s="592"/>
      <c r="J179" s="577"/>
      <c r="K179" s="576"/>
    </row>
    <row r="180" spans="1:11" s="593" customFormat="1" ht="24.95" customHeight="1">
      <c r="A180" s="578"/>
      <c r="B180" s="579" t="s">
        <v>4413</v>
      </c>
      <c r="C180" s="580" t="s">
        <v>4414</v>
      </c>
      <c r="D180" s="581">
        <f>+D181+D182</f>
        <v>30638</v>
      </c>
      <c r="E180" s="581">
        <f>+E181+E182</f>
        <v>40357</v>
      </c>
      <c r="F180" s="574"/>
      <c r="G180" s="592"/>
      <c r="J180" s="577"/>
      <c r="K180" s="576"/>
    </row>
    <row r="181" spans="1:11" s="593" customFormat="1" ht="24.95" customHeight="1">
      <c r="A181" s="588"/>
      <c r="B181" s="595" t="s">
        <v>4190</v>
      </c>
      <c r="C181" s="596" t="s">
        <v>4415</v>
      </c>
      <c r="D181" s="591">
        <f>+'SP Attivo Alim'!I245</f>
        <v>30638</v>
      </c>
      <c r="E181" s="591">
        <f>+'SP Attivo Alim'!J245</f>
        <v>40357</v>
      </c>
      <c r="F181" s="574"/>
      <c r="G181" s="592"/>
      <c r="J181" s="577"/>
      <c r="K181" s="576"/>
    </row>
    <row r="182" spans="1:11" s="593" customFormat="1" ht="24.95" customHeight="1" thickBot="1">
      <c r="A182" s="639" t="s">
        <v>1522</v>
      </c>
      <c r="B182" s="636" t="s">
        <v>4192</v>
      </c>
      <c r="C182" s="637" t="s">
        <v>4416</v>
      </c>
      <c r="D182" s="591">
        <f>+'SP Attivo Alim'!I246</f>
        <v>0</v>
      </c>
      <c r="E182" s="591">
        <f>+'SP Attivo Alim'!J246</f>
        <v>0</v>
      </c>
      <c r="F182" s="574"/>
      <c r="G182" s="592"/>
      <c r="J182" s="577"/>
      <c r="K182" s="576"/>
    </row>
    <row r="183" spans="1:11" s="593" customFormat="1" ht="24.95" customHeight="1" thickBot="1">
      <c r="A183" s="640"/>
      <c r="B183" s="641" t="s">
        <v>4194</v>
      </c>
      <c r="C183" s="642" t="s">
        <v>4417</v>
      </c>
      <c r="D183" s="643">
        <f>+D6+D84+D176</f>
        <v>111563634</v>
      </c>
      <c r="E183" s="643">
        <f>+E6+E84+E176</f>
        <v>109775459</v>
      </c>
      <c r="F183" s="574"/>
      <c r="G183" s="592"/>
      <c r="J183" s="577"/>
      <c r="K183" s="576"/>
    </row>
    <row r="184" spans="1:11" s="593" customFormat="1" ht="24.95" customHeight="1">
      <c r="A184" s="644"/>
      <c r="B184" s="571" t="s">
        <v>4418</v>
      </c>
      <c r="C184" s="645" t="s">
        <v>4419</v>
      </c>
      <c r="D184" s="646">
        <f>+D185+D186+D187+D188+D189</f>
        <v>2898397</v>
      </c>
      <c r="E184" s="646">
        <f>+E185+E186+E187+E188+E189</f>
        <v>2802427</v>
      </c>
      <c r="F184" s="574"/>
      <c r="G184" s="592"/>
      <c r="J184" s="577"/>
      <c r="K184" s="576"/>
    </row>
    <row r="185" spans="1:11" s="593" customFormat="1" ht="24.95" customHeight="1">
      <c r="A185" s="588"/>
      <c r="B185" s="647" t="s">
        <v>4195</v>
      </c>
      <c r="C185" s="648" t="s">
        <v>4420</v>
      </c>
      <c r="D185" s="591">
        <f>+'SP Attivo Alim'!I249</f>
        <v>116759</v>
      </c>
      <c r="E185" s="591">
        <f>+'SP Attivo Alim'!J249</f>
        <v>20264</v>
      </c>
      <c r="F185" s="574"/>
      <c r="G185" s="592"/>
      <c r="J185" s="577"/>
      <c r="K185" s="576"/>
    </row>
    <row r="186" spans="1:11" s="593" customFormat="1" ht="24.95" customHeight="1">
      <c r="A186" s="588"/>
      <c r="B186" s="647" t="s">
        <v>4196</v>
      </c>
      <c r="C186" s="648" t="s">
        <v>4421</v>
      </c>
      <c r="D186" s="591">
        <f>+'SP Attivo Alim'!I250</f>
        <v>0</v>
      </c>
      <c r="E186" s="591">
        <f>+'SP Attivo Alim'!J250</f>
        <v>0</v>
      </c>
      <c r="F186" s="574"/>
      <c r="G186" s="592"/>
      <c r="J186" s="577"/>
      <c r="K186" s="576"/>
    </row>
    <row r="187" spans="1:11" s="593" customFormat="1" ht="24.95" customHeight="1">
      <c r="A187" s="588"/>
      <c r="B187" s="647" t="s">
        <v>4197</v>
      </c>
      <c r="C187" s="648" t="s">
        <v>4422</v>
      </c>
      <c r="D187" s="591">
        <f>+'SP Attivo Alim'!I251</f>
        <v>0</v>
      </c>
      <c r="E187" s="591">
        <f>+'SP Attivo Alim'!J251</f>
        <v>0</v>
      </c>
      <c r="F187" s="574"/>
      <c r="G187" s="592"/>
      <c r="J187" s="577"/>
      <c r="K187" s="576"/>
    </row>
    <row r="188" spans="1:11" s="593" customFormat="1" ht="24.95" customHeight="1">
      <c r="A188" s="649"/>
      <c r="B188" s="647" t="s">
        <v>4198</v>
      </c>
      <c r="C188" s="648" t="s">
        <v>4423</v>
      </c>
      <c r="D188" s="591">
        <f>+'SP Attivo Alim'!I252</f>
        <v>0</v>
      </c>
      <c r="E188" s="591">
        <f>+'SP Attivo Alim'!J252</f>
        <v>0</v>
      </c>
      <c r="F188" s="574"/>
      <c r="G188" s="592"/>
      <c r="J188" s="577"/>
      <c r="K188" s="576"/>
    </row>
    <row r="189" spans="1:11" s="593" customFormat="1" ht="24.95" customHeight="1" thickBot="1">
      <c r="A189" s="598"/>
      <c r="B189" s="650" t="s">
        <v>4199</v>
      </c>
      <c r="C189" s="651" t="s">
        <v>4424</v>
      </c>
      <c r="D189" s="591">
        <f>+'SP Attivo Alim'!I254+'SP Attivo Alim'!I255+'SP Attivo Alim'!I256+'SP Attivo Alim'!I257+'SP Attivo Alim'!I258+'SP Attivo Alim'!I259+'SP Attivo Alim'!I260</f>
        <v>2781638</v>
      </c>
      <c r="E189" s="591">
        <f>+'SP Attivo Alim'!J254+'SP Attivo Alim'!J255+'SP Attivo Alim'!J256+'SP Attivo Alim'!J257+'SP Attivo Alim'!J258+'SP Attivo Alim'!J259+'SP Attivo Alim'!J260</f>
        <v>2782163</v>
      </c>
      <c r="F189" s="574"/>
      <c r="G189" s="592"/>
      <c r="J189" s="577"/>
      <c r="K189" s="576"/>
    </row>
    <row r="190" spans="1:11" s="593" customFormat="1" ht="24.95" customHeight="1">
      <c r="A190" s="644"/>
      <c r="B190" s="571" t="s">
        <v>4425</v>
      </c>
      <c r="C190" s="572" t="s">
        <v>4426</v>
      </c>
      <c r="D190" s="605">
        <f>+D191+D192+D201+D202+D208+D212+D213</f>
        <v>57993790</v>
      </c>
      <c r="E190" s="605">
        <f>+E191+E192+E201+E202+E208+E212+E213</f>
        <v>55560539</v>
      </c>
      <c r="F190" s="574"/>
      <c r="G190" s="592"/>
      <c r="J190" s="577"/>
      <c r="K190" s="576"/>
    </row>
    <row r="191" spans="1:11" s="593" customFormat="1" ht="24.95" customHeight="1">
      <c r="A191" s="588"/>
      <c r="B191" s="652" t="s">
        <v>3463</v>
      </c>
      <c r="C191" s="653" t="s">
        <v>4427</v>
      </c>
      <c r="D191" s="591">
        <f>+'Alimentazione SP P'!I4</f>
        <v>269581</v>
      </c>
      <c r="E191" s="591">
        <f>+'Alimentazione SP P'!J4</f>
        <v>103489</v>
      </c>
      <c r="F191" s="574"/>
      <c r="G191" s="592"/>
      <c r="J191" s="577"/>
      <c r="K191" s="576"/>
    </row>
    <row r="192" spans="1:11" s="593" customFormat="1" ht="24.95" customHeight="1">
      <c r="A192" s="578"/>
      <c r="B192" s="579" t="s">
        <v>4428</v>
      </c>
      <c r="C192" s="580" t="s">
        <v>4429</v>
      </c>
      <c r="D192" s="581">
        <f>+D193+D194+D198+D199+D200</f>
        <v>52280717</v>
      </c>
      <c r="E192" s="581">
        <f>+E193+E194+E198+E199+E200</f>
        <v>50768824</v>
      </c>
      <c r="F192" s="574"/>
      <c r="G192" s="592"/>
      <c r="J192" s="577"/>
      <c r="K192" s="576"/>
    </row>
    <row r="193" spans="1:11" s="593" customFormat="1" ht="24.95" customHeight="1">
      <c r="A193" s="588"/>
      <c r="B193" s="595" t="s">
        <v>3466</v>
      </c>
      <c r="C193" s="596" t="s">
        <v>4430</v>
      </c>
      <c r="D193" s="591">
        <f>+'Alimentazione SP P'!I6</f>
        <v>2931371</v>
      </c>
      <c r="E193" s="591">
        <f>+'Alimentazione SP P'!J6</f>
        <v>3116905</v>
      </c>
      <c r="F193" s="574"/>
      <c r="G193" s="592"/>
      <c r="J193" s="577"/>
      <c r="K193" s="576"/>
    </row>
    <row r="194" spans="1:11" s="593" customFormat="1" ht="24.95" customHeight="1">
      <c r="A194" s="594"/>
      <c r="B194" s="584" t="s">
        <v>4431</v>
      </c>
      <c r="C194" s="585" t="s">
        <v>4432</v>
      </c>
      <c r="D194" s="586">
        <f>+D195+D196+D197</f>
        <v>22476784</v>
      </c>
      <c r="E194" s="586">
        <f>+E195+E196+E197</f>
        <v>22767273</v>
      </c>
      <c r="F194" s="574"/>
      <c r="G194" s="592"/>
      <c r="J194" s="577"/>
      <c r="K194" s="576"/>
    </row>
    <row r="195" spans="1:11" s="593" customFormat="1" ht="24.95" customHeight="1">
      <c r="A195" s="588"/>
      <c r="B195" s="589" t="s">
        <v>3469</v>
      </c>
      <c r="C195" s="590" t="s">
        <v>4433</v>
      </c>
      <c r="D195" s="591">
        <f>+'Alimentazione SP P'!I8</f>
        <v>15039145</v>
      </c>
      <c r="E195" s="591">
        <f>+'Alimentazione SP P'!J8</f>
        <v>15065649</v>
      </c>
      <c r="F195" s="574"/>
      <c r="G195" s="592"/>
      <c r="J195" s="577"/>
      <c r="K195" s="576"/>
    </row>
    <row r="196" spans="1:11" s="593" customFormat="1" ht="24.95" customHeight="1">
      <c r="A196" s="588"/>
      <c r="B196" s="589" t="s">
        <v>3471</v>
      </c>
      <c r="C196" s="590" t="s">
        <v>4434</v>
      </c>
      <c r="D196" s="591">
        <f>+'Alimentazione SP P'!I9</f>
        <v>539204</v>
      </c>
      <c r="E196" s="591">
        <f>+'Alimentazione SP P'!J9</f>
        <v>780556</v>
      </c>
      <c r="F196" s="574"/>
      <c r="G196" s="592"/>
      <c r="J196" s="577"/>
      <c r="K196" s="576"/>
    </row>
    <row r="197" spans="1:11" s="593" customFormat="1" ht="24.95" customHeight="1">
      <c r="A197" s="588"/>
      <c r="B197" s="589" t="s">
        <v>3473</v>
      </c>
      <c r="C197" s="590" t="s">
        <v>4435</v>
      </c>
      <c r="D197" s="591">
        <f>+'Alimentazione SP P'!I10</f>
        <v>6898435</v>
      </c>
      <c r="E197" s="591">
        <f>+'Alimentazione SP P'!J10</f>
        <v>6921068</v>
      </c>
      <c r="F197" s="574"/>
      <c r="G197" s="592"/>
      <c r="J197" s="577"/>
      <c r="K197" s="576"/>
    </row>
    <row r="198" spans="1:11" s="593" customFormat="1" ht="24.95" customHeight="1">
      <c r="A198" s="588"/>
      <c r="B198" s="595" t="s">
        <v>3475</v>
      </c>
      <c r="C198" s="596" t="s">
        <v>4436</v>
      </c>
      <c r="D198" s="591">
        <f>+'Alimentazione SP P'!I12+'Alimentazione SP P'!I13</f>
        <v>26779353</v>
      </c>
      <c r="E198" s="591">
        <f>+'Alimentazione SP P'!J12+'Alimentazione SP P'!J13</f>
        <v>24825475</v>
      </c>
      <c r="F198" s="574"/>
      <c r="G198" s="592"/>
      <c r="J198" s="577"/>
      <c r="K198" s="576"/>
    </row>
    <row r="199" spans="1:11" s="593" customFormat="1" ht="24.95" customHeight="1">
      <c r="A199" s="588"/>
      <c r="B199" s="595" t="s">
        <v>3479</v>
      </c>
      <c r="C199" s="596" t="s">
        <v>4437</v>
      </c>
      <c r="D199" s="591">
        <f>+'Alimentazione SP P'!I15+'Alimentazione SP P'!I16</f>
        <v>9172</v>
      </c>
      <c r="E199" s="591">
        <f>+'Alimentazione SP P'!J15+'Alimentazione SP P'!J16</f>
        <v>2042</v>
      </c>
      <c r="F199" s="574"/>
      <c r="G199" s="592"/>
      <c r="J199" s="577"/>
      <c r="K199" s="576"/>
    </row>
    <row r="200" spans="1:11" s="593" customFormat="1" ht="24.95" customHeight="1">
      <c r="A200" s="588"/>
      <c r="B200" s="595" t="s">
        <v>3483</v>
      </c>
      <c r="C200" s="596" t="s">
        <v>4438</v>
      </c>
      <c r="D200" s="591">
        <f>+'Alimentazione SP P'!I17</f>
        <v>84037</v>
      </c>
      <c r="E200" s="591">
        <f>+'Alimentazione SP P'!J17</f>
        <v>57129</v>
      </c>
      <c r="F200" s="574"/>
      <c r="G200" s="592"/>
      <c r="J200" s="577"/>
      <c r="K200" s="576"/>
    </row>
    <row r="201" spans="1:11" s="593" customFormat="1" ht="24.95" customHeight="1">
      <c r="A201" s="588"/>
      <c r="B201" s="652" t="s">
        <v>3485</v>
      </c>
      <c r="C201" s="653" t="s">
        <v>4439</v>
      </c>
      <c r="D201" s="591">
        <f>+'Alimentazione SP P'!I18</f>
        <v>2190789</v>
      </c>
      <c r="E201" s="591">
        <f>+'Alimentazione SP P'!J18</f>
        <v>2213621</v>
      </c>
      <c r="F201" s="574"/>
      <c r="G201" s="592"/>
      <c r="J201" s="577"/>
      <c r="K201" s="576"/>
    </row>
    <row r="202" spans="1:11" s="593" customFormat="1" ht="24.95" customHeight="1">
      <c r="A202" s="578"/>
      <c r="B202" s="579" t="s">
        <v>4440</v>
      </c>
      <c r="C202" s="580" t="s">
        <v>4441</v>
      </c>
      <c r="D202" s="581">
        <f>+D203+D204+D205+D206+D207</f>
        <v>3105587</v>
      </c>
      <c r="E202" s="581">
        <f>+E203+E204+E205+E206+E207</f>
        <v>2462190</v>
      </c>
      <c r="F202" s="574"/>
      <c r="G202" s="592"/>
      <c r="J202" s="577"/>
      <c r="K202" s="576"/>
    </row>
    <row r="203" spans="1:11" s="593" customFormat="1" ht="24.95" customHeight="1">
      <c r="A203" s="588"/>
      <c r="B203" s="595" t="s">
        <v>3488</v>
      </c>
      <c r="C203" s="596" t="s">
        <v>4442</v>
      </c>
      <c r="D203" s="591">
        <f>+'Alimentazione SP P'!I20</f>
        <v>0</v>
      </c>
      <c r="E203" s="591">
        <f>+'Alimentazione SP P'!J20</f>
        <v>0</v>
      </c>
      <c r="F203" s="574"/>
      <c r="G203" s="592"/>
      <c r="J203" s="577"/>
      <c r="K203" s="576"/>
    </row>
    <row r="204" spans="1:11" s="593" customFormat="1" ht="24.95" customHeight="1">
      <c r="A204" s="588"/>
      <c r="B204" s="595" t="s">
        <v>3490</v>
      </c>
      <c r="C204" s="596" t="s">
        <v>4443</v>
      </c>
      <c r="D204" s="591">
        <f>+'Alimentazione SP P'!I21</f>
        <v>667664</v>
      </c>
      <c r="E204" s="591">
        <f>+'Alimentazione SP P'!J21</f>
        <v>2682</v>
      </c>
      <c r="F204" s="574"/>
      <c r="G204" s="592"/>
      <c r="J204" s="577"/>
      <c r="K204" s="576"/>
    </row>
    <row r="205" spans="1:11" s="593" customFormat="1" ht="24.95" customHeight="1">
      <c r="A205" s="588"/>
      <c r="B205" s="595" t="s">
        <v>3492</v>
      </c>
      <c r="C205" s="596" t="s">
        <v>4444</v>
      </c>
      <c r="D205" s="591">
        <f>+'Alimentazione SP P'!I22</f>
        <v>367675</v>
      </c>
      <c r="E205" s="591">
        <f>+'Alimentazione SP P'!J22</f>
        <v>0</v>
      </c>
      <c r="F205" s="574"/>
      <c r="G205" s="592"/>
      <c r="J205" s="577"/>
      <c r="K205" s="576"/>
    </row>
    <row r="206" spans="1:11" s="593" customFormat="1" ht="24.95" customHeight="1">
      <c r="A206" s="588"/>
      <c r="B206" s="595" t="s">
        <v>3494</v>
      </c>
      <c r="C206" s="596" t="s">
        <v>4445</v>
      </c>
      <c r="D206" s="591">
        <f>+'Alimentazione SP P'!I23</f>
        <v>85387</v>
      </c>
      <c r="E206" s="591">
        <f>+'Alimentazione SP P'!J23</f>
        <v>236301</v>
      </c>
      <c r="F206" s="574"/>
      <c r="G206" s="592"/>
      <c r="J206" s="577"/>
      <c r="K206" s="576"/>
    </row>
    <row r="207" spans="1:11" s="593" customFormat="1" ht="24.95" customHeight="1">
      <c r="A207" s="588"/>
      <c r="B207" s="595" t="s">
        <v>3496</v>
      </c>
      <c r="C207" s="596" t="s">
        <v>4446</v>
      </c>
      <c r="D207" s="591">
        <f>+'Alimentazione SP P'!I24</f>
        <v>1984861</v>
      </c>
      <c r="E207" s="591">
        <f>+'Alimentazione SP P'!J24</f>
        <v>2223207</v>
      </c>
      <c r="F207" s="574"/>
      <c r="G207" s="592"/>
      <c r="J207" s="577"/>
      <c r="K207" s="576"/>
    </row>
    <row r="208" spans="1:11" s="593" customFormat="1" ht="24.95" customHeight="1">
      <c r="A208" s="578"/>
      <c r="B208" s="579" t="s">
        <v>4447</v>
      </c>
      <c r="C208" s="580" t="s">
        <v>4448</v>
      </c>
      <c r="D208" s="581">
        <f>+D209+D210+D211</f>
        <v>0</v>
      </c>
      <c r="E208" s="581">
        <f>+E209+E210+E211</f>
        <v>0</v>
      </c>
      <c r="F208" s="574"/>
      <c r="G208" s="592"/>
      <c r="J208" s="577"/>
      <c r="K208" s="576"/>
    </row>
    <row r="209" spans="1:11" s="593" customFormat="1" ht="24.95" customHeight="1">
      <c r="A209" s="588"/>
      <c r="B209" s="595" t="s">
        <v>3499</v>
      </c>
      <c r="C209" s="596" t="s">
        <v>4449</v>
      </c>
      <c r="D209" s="591">
        <f>+'Alimentazione SP P'!I26</f>
        <v>0</v>
      </c>
      <c r="E209" s="591">
        <f>+'Alimentazione SP P'!J26</f>
        <v>0</v>
      </c>
      <c r="F209" s="574"/>
      <c r="G209" s="592"/>
      <c r="J209" s="577"/>
      <c r="K209" s="576"/>
    </row>
    <row r="210" spans="1:11" s="593" customFormat="1" ht="24.95" customHeight="1">
      <c r="A210" s="588"/>
      <c r="B210" s="595" t="s">
        <v>3501</v>
      </c>
      <c r="C210" s="596" t="s">
        <v>4450</v>
      </c>
      <c r="D210" s="591">
        <f>+'Alimentazione SP P'!I27</f>
        <v>0</v>
      </c>
      <c r="E210" s="591">
        <f>+'Alimentazione SP P'!J27</f>
        <v>0</v>
      </c>
      <c r="F210" s="574"/>
      <c r="G210" s="592"/>
      <c r="J210" s="577"/>
      <c r="K210" s="576"/>
    </row>
    <row r="211" spans="1:11" s="593" customFormat="1" ht="24.95" customHeight="1">
      <c r="A211" s="588"/>
      <c r="B211" s="595" t="s">
        <v>3503</v>
      </c>
      <c r="C211" s="596" t="s">
        <v>4451</v>
      </c>
      <c r="D211" s="591">
        <f>+'Alimentazione SP P'!I28</f>
        <v>0</v>
      </c>
      <c r="E211" s="591">
        <f>+'Alimentazione SP P'!J28</f>
        <v>0</v>
      </c>
      <c r="F211" s="574"/>
      <c r="G211" s="592"/>
      <c r="J211" s="577"/>
      <c r="K211" s="576"/>
    </row>
    <row r="212" spans="1:11" s="593" customFormat="1" ht="24.95" customHeight="1">
      <c r="A212" s="588"/>
      <c r="B212" s="652" t="s">
        <v>3505</v>
      </c>
      <c r="C212" s="653" t="s">
        <v>4452</v>
      </c>
      <c r="D212" s="591">
        <f>+'Alimentazione SP P'!I29</f>
        <v>0</v>
      </c>
      <c r="E212" s="591">
        <f>+'Alimentazione SP P'!J29</f>
        <v>0</v>
      </c>
      <c r="F212" s="574"/>
      <c r="G212" s="592"/>
      <c r="J212" s="577"/>
      <c r="K212" s="576"/>
    </row>
    <row r="213" spans="1:11" s="593" customFormat="1" ht="24.95" customHeight="1" thickBot="1">
      <c r="A213" s="598"/>
      <c r="B213" s="654" t="s">
        <v>3507</v>
      </c>
      <c r="C213" s="655" t="s">
        <v>4453</v>
      </c>
      <c r="D213" s="591">
        <f>+'Alimentazione SP P'!I30</f>
        <v>147116</v>
      </c>
      <c r="E213" s="591">
        <f>+'Alimentazione SP P'!J30</f>
        <v>12415</v>
      </c>
      <c r="F213" s="574"/>
      <c r="G213" s="592"/>
      <c r="J213" s="577"/>
      <c r="K213" s="576"/>
    </row>
    <row r="214" spans="1:11" s="593" customFormat="1" ht="24.95" customHeight="1">
      <c r="A214" s="570"/>
      <c r="B214" s="571" t="s">
        <v>4454</v>
      </c>
      <c r="C214" s="572" t="s">
        <v>4455</v>
      </c>
      <c r="D214" s="605">
        <f>+D215+D216+D224+D233+D239</f>
        <v>24800436</v>
      </c>
      <c r="E214" s="605">
        <f>+E215+E216+E224+E233+E239</f>
        <v>29010558</v>
      </c>
      <c r="F214" s="574"/>
      <c r="G214" s="592"/>
      <c r="J214" s="577"/>
      <c r="K214" s="576"/>
    </row>
    <row r="215" spans="1:11" s="593" customFormat="1" ht="24.95" customHeight="1">
      <c r="A215" s="588"/>
      <c r="B215" s="652" t="s">
        <v>3666</v>
      </c>
      <c r="C215" s="653" t="s">
        <v>4456</v>
      </c>
      <c r="D215" s="591">
        <f>+'Alimentazione SP P'!I112</f>
        <v>0</v>
      </c>
      <c r="E215" s="591">
        <f>+'Alimentazione SP P'!J112</f>
        <v>0</v>
      </c>
      <c r="F215" s="574"/>
      <c r="G215" s="592"/>
      <c r="J215" s="577"/>
      <c r="K215" s="576"/>
    </row>
    <row r="216" spans="1:11" s="593" customFormat="1" ht="24.95" customHeight="1">
      <c r="A216" s="578"/>
      <c r="B216" s="579" t="s">
        <v>4457</v>
      </c>
      <c r="C216" s="580" t="s">
        <v>4458</v>
      </c>
      <c r="D216" s="581">
        <f>SUM(D217:D223)</f>
        <v>5397188</v>
      </c>
      <c r="E216" s="581">
        <f>SUM(E217:E223)</f>
        <v>5402830</v>
      </c>
      <c r="F216" s="574"/>
      <c r="G216" s="592"/>
      <c r="J216" s="577"/>
      <c r="K216" s="576"/>
    </row>
    <row r="217" spans="1:11" s="593" customFormat="1" ht="24.95" customHeight="1">
      <c r="A217" s="588"/>
      <c r="B217" s="595" t="s">
        <v>3669</v>
      </c>
      <c r="C217" s="596" t="s">
        <v>4459</v>
      </c>
      <c r="D217" s="591">
        <f>+'Alimentazione SP P'!I114</f>
        <v>3264701</v>
      </c>
      <c r="E217" s="591">
        <f>+'Alimentazione SP P'!J114</f>
        <v>3282347</v>
      </c>
      <c r="F217" s="574"/>
      <c r="G217" s="592"/>
      <c r="J217" s="577"/>
      <c r="K217" s="576"/>
    </row>
    <row r="218" spans="1:11" s="593" customFormat="1" ht="24.95" customHeight="1">
      <c r="A218" s="588"/>
      <c r="B218" s="595" t="s">
        <v>3671</v>
      </c>
      <c r="C218" s="596" t="s">
        <v>4460</v>
      </c>
      <c r="D218" s="591">
        <f>+'Alimentazione SP P'!I115</f>
        <v>1495755</v>
      </c>
      <c r="E218" s="591">
        <f>+'Alimentazione SP P'!J115</f>
        <v>1474782</v>
      </c>
      <c r="F218" s="574"/>
      <c r="G218" s="592"/>
      <c r="J218" s="577"/>
      <c r="K218" s="576"/>
    </row>
    <row r="219" spans="1:11" s="593" customFormat="1" ht="24.95" customHeight="1">
      <c r="A219" s="588"/>
      <c r="B219" s="595" t="s">
        <v>3673</v>
      </c>
      <c r="C219" s="596" t="s">
        <v>4461</v>
      </c>
      <c r="D219" s="591">
        <f>+'Alimentazione SP P'!I116</f>
        <v>0</v>
      </c>
      <c r="E219" s="591">
        <f>+'Alimentazione SP P'!J116</f>
        <v>0</v>
      </c>
      <c r="F219" s="574"/>
      <c r="G219" s="592"/>
      <c r="J219" s="577"/>
      <c r="K219" s="576"/>
    </row>
    <row r="220" spans="1:11" s="593" customFormat="1" ht="24.95" customHeight="1">
      <c r="A220" s="588"/>
      <c r="B220" s="595" t="s">
        <v>3675</v>
      </c>
      <c r="C220" s="596" t="s">
        <v>4462</v>
      </c>
      <c r="D220" s="591">
        <f>+'Alimentazione SP P'!I117</f>
        <v>0</v>
      </c>
      <c r="E220" s="591">
        <f>+'Alimentazione SP P'!J117</f>
        <v>0</v>
      </c>
      <c r="F220" s="574"/>
      <c r="G220" s="592"/>
      <c r="J220" s="577"/>
      <c r="K220" s="576"/>
    </row>
    <row r="221" spans="1:11" s="593" customFormat="1" ht="24.95" customHeight="1">
      <c r="A221" s="588"/>
      <c r="B221" s="656" t="s">
        <v>3677</v>
      </c>
      <c r="C221" s="657" t="s">
        <v>4463</v>
      </c>
      <c r="D221" s="591">
        <f>+'Alimentazione SP P'!I118</f>
        <v>0</v>
      </c>
      <c r="E221" s="591">
        <f>+'Alimentazione SP P'!J118</f>
        <v>0</v>
      </c>
      <c r="F221" s="574"/>
      <c r="G221" s="592"/>
      <c r="J221" s="577"/>
      <c r="K221" s="576"/>
    </row>
    <row r="222" spans="1:11" s="593" customFormat="1" ht="24.95" customHeight="1">
      <c r="A222" s="588"/>
      <c r="B222" s="656" t="s">
        <v>3679</v>
      </c>
      <c r="C222" s="657" t="s">
        <v>4464</v>
      </c>
      <c r="D222" s="591">
        <f>+'Alimentazione SP P'!I119</f>
        <v>0</v>
      </c>
      <c r="E222" s="591">
        <f>+'Alimentazione SP P'!J119</f>
        <v>0</v>
      </c>
      <c r="F222" s="574"/>
      <c r="G222" s="592"/>
      <c r="J222" s="577"/>
      <c r="K222" s="576"/>
    </row>
    <row r="223" spans="1:11" s="593" customFormat="1" ht="24.95" customHeight="1">
      <c r="A223" s="588"/>
      <c r="B223" s="656" t="s">
        <v>3681</v>
      </c>
      <c r="C223" s="657" t="s">
        <v>4465</v>
      </c>
      <c r="D223" s="591">
        <f>+'Alimentazione SP P'!I121+'Alimentazione SP P'!I122+'Alimentazione SP P'!I123</f>
        <v>636732</v>
      </c>
      <c r="E223" s="591">
        <f>+'Alimentazione SP P'!J121+'Alimentazione SP P'!J122+'Alimentazione SP P'!J123</f>
        <v>645701</v>
      </c>
      <c r="F223" s="574"/>
      <c r="G223" s="592"/>
      <c r="J223" s="577"/>
      <c r="K223" s="576"/>
    </row>
    <row r="224" spans="1:11" s="593" customFormat="1" ht="24.95" customHeight="1">
      <c r="A224" s="578"/>
      <c r="B224" s="579" t="s">
        <v>4466</v>
      </c>
      <c r="C224" s="580" t="s">
        <v>4467</v>
      </c>
      <c r="D224" s="581">
        <f>SUM(D225:D232)</f>
        <v>0</v>
      </c>
      <c r="E224" s="581">
        <f>SUM(E225:E232)</f>
        <v>0</v>
      </c>
      <c r="F224" s="574"/>
      <c r="G224" s="592"/>
      <c r="J224" s="577"/>
      <c r="K224" s="576"/>
    </row>
    <row r="225" spans="1:11" s="593" customFormat="1" ht="24.95" customHeight="1">
      <c r="A225" s="588"/>
      <c r="B225" s="595" t="s">
        <v>3686</v>
      </c>
      <c r="C225" s="596" t="s">
        <v>4468</v>
      </c>
      <c r="D225" s="591">
        <f>+'Alimentazione SP P'!I125</f>
        <v>0</v>
      </c>
      <c r="E225" s="591">
        <f>+'Alimentazione SP P'!J125</f>
        <v>0</v>
      </c>
      <c r="F225" s="574"/>
      <c r="G225" s="592"/>
      <c r="J225" s="577"/>
      <c r="K225" s="576"/>
    </row>
    <row r="226" spans="1:11" s="593" customFormat="1" ht="24.95" customHeight="1">
      <c r="A226" s="588"/>
      <c r="B226" s="595" t="s">
        <v>3688</v>
      </c>
      <c r="C226" s="596" t="s">
        <v>4469</v>
      </c>
      <c r="D226" s="591">
        <f>+'Alimentazione SP P'!I126</f>
        <v>0</v>
      </c>
      <c r="E226" s="591">
        <f>+'Alimentazione SP P'!J126</f>
        <v>0</v>
      </c>
      <c r="F226" s="574"/>
      <c r="G226" s="592"/>
      <c r="J226" s="577"/>
      <c r="K226" s="576"/>
    </row>
    <row r="227" spans="1:11" s="593" customFormat="1" ht="24.95" customHeight="1">
      <c r="A227" s="588"/>
      <c r="B227" s="595" t="s">
        <v>3690</v>
      </c>
      <c r="C227" s="596" t="s">
        <v>4470</v>
      </c>
      <c r="D227" s="591">
        <f>+'Alimentazione SP P'!I127</f>
        <v>0</v>
      </c>
      <c r="E227" s="591">
        <f>+'Alimentazione SP P'!J127</f>
        <v>0</v>
      </c>
      <c r="F227" s="574"/>
      <c r="G227" s="592"/>
      <c r="J227" s="577"/>
      <c r="K227" s="576"/>
    </row>
    <row r="228" spans="1:11" s="593" customFormat="1" ht="24.95" customHeight="1">
      <c r="A228" s="588"/>
      <c r="B228" s="595" t="s">
        <v>3692</v>
      </c>
      <c r="C228" s="596" t="s">
        <v>4471</v>
      </c>
      <c r="D228" s="591">
        <f>+'Alimentazione SP P'!I128</f>
        <v>0</v>
      </c>
      <c r="E228" s="591">
        <f>+'Alimentazione SP P'!J128</f>
        <v>0</v>
      </c>
      <c r="F228" s="574"/>
      <c r="G228" s="592"/>
      <c r="J228" s="577"/>
      <c r="K228" s="576"/>
    </row>
    <row r="229" spans="1:11" s="593" customFormat="1" ht="24.95" customHeight="1">
      <c r="A229" s="588"/>
      <c r="B229" s="595" t="s">
        <v>3694</v>
      </c>
      <c r="C229" s="596" t="s">
        <v>4472</v>
      </c>
      <c r="D229" s="591">
        <f>+'Alimentazione SP P'!I129</f>
        <v>0</v>
      </c>
      <c r="E229" s="591">
        <f>+'Alimentazione SP P'!J129</f>
        <v>0</v>
      </c>
      <c r="F229" s="574"/>
      <c r="G229" s="592"/>
      <c r="J229" s="577"/>
      <c r="K229" s="576"/>
    </row>
    <row r="230" spans="1:11" s="593" customFormat="1" ht="24.95" customHeight="1">
      <c r="A230" s="588"/>
      <c r="B230" s="595" t="s">
        <v>3696</v>
      </c>
      <c r="C230" s="596" t="s">
        <v>4473</v>
      </c>
      <c r="D230" s="591">
        <f>+'Alimentazione SP P'!I130</f>
        <v>0</v>
      </c>
      <c r="E230" s="591">
        <f>+'Alimentazione SP P'!J130</f>
        <v>0</v>
      </c>
      <c r="F230" s="574"/>
      <c r="G230" s="592"/>
      <c r="J230" s="577"/>
      <c r="K230" s="576"/>
    </row>
    <row r="231" spans="1:11" s="593" customFormat="1" ht="24.95" customHeight="1">
      <c r="A231" s="588"/>
      <c r="B231" s="595" t="s">
        <v>3698</v>
      </c>
      <c r="C231" s="596" t="s">
        <v>4474</v>
      </c>
      <c r="D231" s="591">
        <f>+'Alimentazione SP P'!I131</f>
        <v>0</v>
      </c>
      <c r="E231" s="591">
        <f>+'Alimentazione SP P'!J131</f>
        <v>0</v>
      </c>
      <c r="F231" s="574"/>
      <c r="G231" s="592"/>
      <c r="J231" s="577"/>
      <c r="K231" s="576"/>
    </row>
    <row r="232" spans="1:11" s="593" customFormat="1" ht="33.75" customHeight="1">
      <c r="A232" s="588"/>
      <c r="B232" s="658" t="s">
        <v>3700</v>
      </c>
      <c r="C232" s="659" t="s">
        <v>4475</v>
      </c>
      <c r="D232" s="591">
        <f>+'Alimentazione SP P'!I132</f>
        <v>0</v>
      </c>
      <c r="E232" s="591">
        <f>+'Alimentazione SP P'!J132</f>
        <v>0</v>
      </c>
      <c r="F232" s="574"/>
      <c r="G232" s="592"/>
      <c r="J232" s="577"/>
      <c r="K232" s="576"/>
    </row>
    <row r="233" spans="1:11" s="593" customFormat="1" ht="24.95" customHeight="1">
      <c r="A233" s="578"/>
      <c r="B233" s="579" t="s">
        <v>3702</v>
      </c>
      <c r="C233" s="580" t="s">
        <v>4476</v>
      </c>
      <c r="D233" s="581">
        <f>SUM(D234:D238)</f>
        <v>16236151</v>
      </c>
      <c r="E233" s="581">
        <f>SUM(E234:E238)</f>
        <v>21466348</v>
      </c>
      <c r="F233" s="574"/>
      <c r="G233" s="592"/>
      <c r="J233" s="577"/>
      <c r="K233" s="576"/>
    </row>
    <row r="234" spans="1:11" s="621" customFormat="1" ht="24.95" customHeight="1">
      <c r="A234" s="588"/>
      <c r="B234" s="656" t="s">
        <v>3704</v>
      </c>
      <c r="C234" s="657" t="s">
        <v>4477</v>
      </c>
      <c r="D234" s="591">
        <f>+'Alimentazione SP P'!I134</f>
        <v>205207</v>
      </c>
      <c r="E234" s="591">
        <f>+'Alimentazione SP P'!J134</f>
        <v>2036900</v>
      </c>
      <c r="F234" s="574"/>
      <c r="G234" s="592"/>
      <c r="J234" s="577"/>
      <c r="K234" s="576"/>
    </row>
    <row r="235" spans="1:11" s="593" customFormat="1" ht="24.95" customHeight="1">
      <c r="A235" s="588"/>
      <c r="B235" s="595" t="s">
        <v>3706</v>
      </c>
      <c r="C235" s="596" t="s">
        <v>4478</v>
      </c>
      <c r="D235" s="591">
        <f>+'Alimentazione SP P'!I135</f>
        <v>0</v>
      </c>
      <c r="E235" s="591">
        <f>+'Alimentazione SP P'!J135</f>
        <v>22412</v>
      </c>
      <c r="F235" s="574"/>
      <c r="G235" s="592"/>
      <c r="J235" s="577"/>
      <c r="K235" s="576"/>
    </row>
    <row r="236" spans="1:11" s="593" customFormat="1" ht="24.95" customHeight="1">
      <c r="A236" s="588"/>
      <c r="B236" s="595" t="s">
        <v>3708</v>
      </c>
      <c r="C236" s="596" t="s">
        <v>4479</v>
      </c>
      <c r="D236" s="591">
        <f>+'Alimentazione SP P'!I136</f>
        <v>1489126</v>
      </c>
      <c r="E236" s="591">
        <f>+'Alimentazione SP P'!J136</f>
        <v>2487965</v>
      </c>
      <c r="F236" s="574"/>
      <c r="G236" s="592"/>
      <c r="J236" s="577"/>
      <c r="K236" s="576"/>
    </row>
    <row r="237" spans="1:11" s="593" customFormat="1" ht="24.95" customHeight="1">
      <c r="A237" s="588"/>
      <c r="B237" s="595" t="s">
        <v>3710</v>
      </c>
      <c r="C237" s="596" t="s">
        <v>4480</v>
      </c>
      <c r="D237" s="591">
        <f>+'Alimentazione SP P'!I137</f>
        <v>11719320</v>
      </c>
      <c r="E237" s="591">
        <f>+'Alimentazione SP P'!J137</f>
        <v>14812075</v>
      </c>
      <c r="F237" s="574"/>
      <c r="G237" s="592"/>
      <c r="J237" s="577"/>
      <c r="K237" s="576"/>
    </row>
    <row r="238" spans="1:11" s="593" customFormat="1" ht="24.95" customHeight="1">
      <c r="A238" s="588"/>
      <c r="B238" s="595" t="s">
        <v>3712</v>
      </c>
      <c r="C238" s="596" t="s">
        <v>4481</v>
      </c>
      <c r="D238" s="591">
        <f>+'Alimentazione SP P'!I139+'Alimentazione SP P'!I140</f>
        <v>2822498</v>
      </c>
      <c r="E238" s="591">
        <f>+'Alimentazione SP P'!J139+'Alimentazione SP P'!J140</f>
        <v>2106996</v>
      </c>
      <c r="F238" s="574"/>
      <c r="G238" s="592"/>
      <c r="J238" s="577"/>
      <c r="K238" s="576"/>
    </row>
    <row r="239" spans="1:11" s="593" customFormat="1" ht="24.95" customHeight="1">
      <c r="A239" s="578"/>
      <c r="B239" s="579" t="s">
        <v>4482</v>
      </c>
      <c r="C239" s="580" t="s">
        <v>4483</v>
      </c>
      <c r="D239" s="581">
        <f>+D240+D241+D245+D246</f>
        <v>3167097</v>
      </c>
      <c r="E239" s="581">
        <f>+E240+E241+E245+E246</f>
        <v>2141380</v>
      </c>
      <c r="F239" s="574"/>
      <c r="G239" s="592"/>
      <c r="J239" s="577"/>
      <c r="K239" s="576"/>
    </row>
    <row r="240" spans="1:11" s="593" customFormat="1" ht="24.95" customHeight="1">
      <c r="A240" s="588"/>
      <c r="B240" s="595" t="s">
        <v>3717</v>
      </c>
      <c r="C240" s="596" t="s">
        <v>4484</v>
      </c>
      <c r="D240" s="591">
        <f>+'Alimentazione SP P'!I142</f>
        <v>0</v>
      </c>
      <c r="E240" s="591">
        <f>+'Alimentazione SP P'!J142</f>
        <v>0</v>
      </c>
      <c r="F240" s="574"/>
      <c r="G240" s="592"/>
      <c r="J240" s="577"/>
      <c r="K240" s="576"/>
    </row>
    <row r="241" spans="1:11" s="593" customFormat="1" ht="24.95" customHeight="1">
      <c r="A241" s="594"/>
      <c r="B241" s="584" t="s">
        <v>4485</v>
      </c>
      <c r="C241" s="585" t="s">
        <v>4486</v>
      </c>
      <c r="D241" s="586">
        <f>+D242+D243+D244</f>
        <v>2468500</v>
      </c>
      <c r="E241" s="586">
        <f>+E242+E243+E244</f>
        <v>1447728</v>
      </c>
      <c r="F241" s="574"/>
      <c r="G241" s="592"/>
      <c r="J241" s="577"/>
      <c r="K241" s="576"/>
    </row>
    <row r="242" spans="1:11" s="593" customFormat="1" ht="24.95" customHeight="1">
      <c r="A242" s="588"/>
      <c r="B242" s="589" t="s">
        <v>3720</v>
      </c>
      <c r="C242" s="590" t="s">
        <v>4487</v>
      </c>
      <c r="D242" s="591">
        <f>+'Alimentazione SP P'!I144</f>
        <v>2468500</v>
      </c>
      <c r="E242" s="591">
        <f>+'Alimentazione SP P'!J144</f>
        <v>1447728</v>
      </c>
      <c r="F242" s="574"/>
      <c r="G242" s="592"/>
      <c r="J242" s="577"/>
      <c r="K242" s="576"/>
    </row>
    <row r="243" spans="1:11" s="593" customFormat="1" ht="24.95" customHeight="1">
      <c r="A243" s="588"/>
      <c r="B243" s="589" t="s">
        <v>3722</v>
      </c>
      <c r="C243" s="590" t="s">
        <v>4488</v>
      </c>
      <c r="D243" s="591">
        <f>+'Alimentazione SP P'!I145</f>
        <v>0</v>
      </c>
      <c r="E243" s="591">
        <f>+'Alimentazione SP P'!J145</f>
        <v>0</v>
      </c>
      <c r="F243" s="574"/>
      <c r="G243" s="592"/>
      <c r="J243" s="577"/>
      <c r="K243" s="576"/>
    </row>
    <row r="244" spans="1:11" s="593" customFormat="1" ht="24.95" customHeight="1">
      <c r="A244" s="588"/>
      <c r="B244" s="589" t="s">
        <v>3724</v>
      </c>
      <c r="C244" s="590" t="s">
        <v>4489</v>
      </c>
      <c r="D244" s="591">
        <f>+'Alimentazione SP P'!I146</f>
        <v>0</v>
      </c>
      <c r="E244" s="591">
        <f>+'Alimentazione SP P'!J146</f>
        <v>0</v>
      </c>
      <c r="F244" s="574"/>
      <c r="G244" s="592"/>
      <c r="J244" s="577"/>
      <c r="K244" s="576"/>
    </row>
    <row r="245" spans="1:11" s="593" customFormat="1" ht="24.95" customHeight="1">
      <c r="A245" s="649"/>
      <c r="B245" s="660" t="s">
        <v>3726</v>
      </c>
      <c r="C245" s="661" t="s">
        <v>4490</v>
      </c>
      <c r="D245" s="591">
        <f>+'Alimentazione SP P'!I148+'Alimentazione SP P'!I149</f>
        <v>571665</v>
      </c>
      <c r="E245" s="591">
        <f>+'Alimentazione SP P'!J148+'Alimentazione SP P'!J149</f>
        <v>693652</v>
      </c>
      <c r="F245" s="574"/>
      <c r="G245" s="592"/>
      <c r="J245" s="577"/>
      <c r="K245" s="576"/>
    </row>
    <row r="246" spans="1:11" s="621" customFormat="1" ht="24.95" customHeight="1">
      <c r="A246" s="662"/>
      <c r="B246" s="663" t="s">
        <v>3729</v>
      </c>
      <c r="C246" s="664" t="s">
        <v>4491</v>
      </c>
      <c r="D246" s="591">
        <f>+'Alimentazione SP P'!I150</f>
        <v>126932</v>
      </c>
      <c r="E246" s="591">
        <f>+'Alimentazione SP P'!J150</f>
        <v>0</v>
      </c>
      <c r="F246" s="574"/>
      <c r="G246" s="592"/>
      <c r="J246" s="577"/>
      <c r="K246" s="576"/>
    </row>
    <row r="247" spans="1:11" s="593" customFormat="1" ht="24.95" customHeight="1">
      <c r="A247" s="570"/>
      <c r="B247" s="665" t="s">
        <v>4492</v>
      </c>
      <c r="C247" s="645" t="s">
        <v>4493</v>
      </c>
      <c r="D247" s="646">
        <f>+D248+D249+D250</f>
        <v>0</v>
      </c>
      <c r="E247" s="646">
        <f>+E248+E249+E250</f>
        <v>0</v>
      </c>
      <c r="F247" s="574"/>
      <c r="G247" s="592"/>
      <c r="J247" s="577"/>
      <c r="K247" s="576"/>
    </row>
    <row r="248" spans="1:11" s="593" customFormat="1" ht="24.95" customHeight="1">
      <c r="A248" s="588"/>
      <c r="B248" s="652" t="s">
        <v>3732</v>
      </c>
      <c r="C248" s="653" t="s">
        <v>4494</v>
      </c>
      <c r="D248" s="591">
        <f>+'Alimentazione SP P'!I152</f>
        <v>0</v>
      </c>
      <c r="E248" s="591">
        <f>+'Alimentazione SP P'!J152</f>
        <v>0</v>
      </c>
      <c r="F248" s="574"/>
      <c r="G248" s="592"/>
      <c r="J248" s="577"/>
      <c r="K248" s="576"/>
    </row>
    <row r="249" spans="1:11" s="593" customFormat="1" ht="24.95" customHeight="1">
      <c r="A249" s="588"/>
      <c r="B249" s="652" t="s">
        <v>3734</v>
      </c>
      <c r="C249" s="653" t="s">
        <v>4495</v>
      </c>
      <c r="D249" s="591">
        <f>+'Alimentazione SP P'!I153</f>
        <v>0</v>
      </c>
      <c r="E249" s="591">
        <f>+'Alimentazione SP P'!J153</f>
        <v>0</v>
      </c>
      <c r="F249" s="574"/>
      <c r="G249" s="592"/>
      <c r="J249" s="577"/>
      <c r="K249" s="576"/>
    </row>
    <row r="250" spans="1:11" s="593" customFormat="1" ht="24.95" customHeight="1" thickBot="1">
      <c r="A250" s="598"/>
      <c r="B250" s="654" t="s">
        <v>3736</v>
      </c>
      <c r="C250" s="655" t="s">
        <v>4496</v>
      </c>
      <c r="D250" s="591">
        <f>+'Alimentazione SP P'!I154</f>
        <v>0</v>
      </c>
      <c r="E250" s="591">
        <f>+'Alimentazione SP P'!J154</f>
        <v>0</v>
      </c>
      <c r="F250" s="574"/>
      <c r="G250" s="592"/>
      <c r="J250" s="577"/>
      <c r="K250" s="576"/>
    </row>
    <row r="251" spans="1:11" s="593" customFormat="1" ht="24.95" customHeight="1">
      <c r="A251" s="666"/>
      <c r="B251" s="667" t="s">
        <v>4497</v>
      </c>
      <c r="C251" s="572" t="s">
        <v>4498</v>
      </c>
      <c r="D251" s="605">
        <f>+D252+D253+D259+D270+D271+D289+D293+D300+D301+D302+D303</f>
        <v>28769408</v>
      </c>
      <c r="E251" s="605">
        <f>+E252+E253+E259+E270+E271+E289+E293+E300+E301+E302+E303</f>
        <v>25203964</v>
      </c>
      <c r="F251" s="574"/>
      <c r="G251" s="592"/>
      <c r="J251" s="577"/>
      <c r="K251" s="576"/>
    </row>
    <row r="252" spans="1:11" s="593" customFormat="1" ht="24.95" customHeight="1">
      <c r="A252" s="588"/>
      <c r="B252" s="652" t="s">
        <v>3739</v>
      </c>
      <c r="C252" s="653" t="s">
        <v>4499</v>
      </c>
      <c r="D252" s="591">
        <f>+'Alimentazione SP P'!I156</f>
        <v>0</v>
      </c>
      <c r="E252" s="591">
        <f>+'Alimentazione SP P'!J156</f>
        <v>0</v>
      </c>
      <c r="F252" s="574"/>
      <c r="G252" s="592"/>
      <c r="J252" s="577"/>
      <c r="K252" s="576"/>
    </row>
    <row r="253" spans="1:11" s="593" customFormat="1" ht="24.95" customHeight="1">
      <c r="A253" s="588"/>
      <c r="B253" s="652" t="s">
        <v>3741</v>
      </c>
      <c r="C253" s="653" t="s">
        <v>4500</v>
      </c>
      <c r="D253" s="591">
        <f>SUM(D254:D258)</f>
        <v>0</v>
      </c>
      <c r="E253" s="591">
        <f>SUM(E254:E258)</f>
        <v>0</v>
      </c>
      <c r="F253" s="574"/>
      <c r="G253" s="592"/>
      <c r="J253" s="577"/>
      <c r="K253" s="576"/>
    </row>
    <row r="254" spans="1:11" s="593" customFormat="1" ht="24.95" customHeight="1">
      <c r="A254" s="668" t="s">
        <v>1567</v>
      </c>
      <c r="B254" s="656" t="s">
        <v>3743</v>
      </c>
      <c r="C254" s="657" t="s">
        <v>4501</v>
      </c>
      <c r="D254" s="591">
        <f>+'Alimentazione SP P'!I158</f>
        <v>0</v>
      </c>
      <c r="E254" s="591">
        <f>+'Alimentazione SP P'!J158</f>
        <v>0</v>
      </c>
      <c r="F254" s="574"/>
      <c r="G254" s="592"/>
      <c r="J254" s="577"/>
      <c r="K254" s="576"/>
    </row>
    <row r="255" spans="1:11" s="593" customFormat="1" ht="24.95" customHeight="1">
      <c r="A255" s="668"/>
      <c r="B255" s="656" t="s">
        <v>3745</v>
      </c>
      <c r="C255" s="657" t="s">
        <v>4502</v>
      </c>
      <c r="D255" s="591">
        <f>+'Alimentazione SP P'!I159</f>
        <v>0</v>
      </c>
      <c r="E255" s="591">
        <f>+'Alimentazione SP P'!J159</f>
        <v>0</v>
      </c>
      <c r="F255" s="574"/>
      <c r="G255" s="592"/>
      <c r="J255" s="577"/>
      <c r="K255" s="576"/>
    </row>
    <row r="256" spans="1:11" s="593" customFormat="1" ht="24.95" customHeight="1">
      <c r="A256" s="638" t="s">
        <v>1571</v>
      </c>
      <c r="B256" s="656" t="s">
        <v>3747</v>
      </c>
      <c r="C256" s="657" t="s">
        <v>4503</v>
      </c>
      <c r="D256" s="591">
        <f>+'Alimentazione SP P'!I160</f>
        <v>0</v>
      </c>
      <c r="E256" s="591">
        <f>+'Alimentazione SP P'!J160</f>
        <v>0</v>
      </c>
      <c r="F256" s="574"/>
      <c r="G256" s="592"/>
      <c r="J256" s="577"/>
      <c r="K256" s="576"/>
    </row>
    <row r="257" spans="1:11" s="593" customFormat="1" ht="24.95" customHeight="1">
      <c r="A257" s="638" t="s">
        <v>1571</v>
      </c>
      <c r="B257" s="656" t="s">
        <v>3749</v>
      </c>
      <c r="C257" s="657" t="s">
        <v>4504</v>
      </c>
      <c r="D257" s="591">
        <f>+'Alimentazione SP P'!I161</f>
        <v>0</v>
      </c>
      <c r="E257" s="591">
        <f>+'Alimentazione SP P'!J161</f>
        <v>0</v>
      </c>
      <c r="F257" s="574"/>
      <c r="G257" s="592"/>
      <c r="J257" s="577"/>
      <c r="K257" s="576"/>
    </row>
    <row r="258" spans="1:11" s="593" customFormat="1" ht="24.95" customHeight="1">
      <c r="A258" s="638" t="s">
        <v>1571</v>
      </c>
      <c r="B258" s="656" t="s">
        <v>3751</v>
      </c>
      <c r="C258" s="657" t="s">
        <v>4505</v>
      </c>
      <c r="D258" s="591">
        <f>+'Alimentazione SP P'!I163+'Alimentazione SP P'!I164+'Alimentazione SP P'!I165+'Alimentazione SP P'!I166</f>
        <v>0</v>
      </c>
      <c r="E258" s="591">
        <f>+'Alimentazione SP P'!J163+'Alimentazione SP P'!J164+'Alimentazione SP P'!J165+'Alimentazione SP P'!J166</f>
        <v>0</v>
      </c>
      <c r="F258" s="574"/>
      <c r="G258" s="592"/>
      <c r="J258" s="577"/>
      <c r="K258" s="576"/>
    </row>
    <row r="259" spans="1:11" s="593" customFormat="1" ht="24.95" customHeight="1">
      <c r="A259" s="588"/>
      <c r="B259" s="652" t="s">
        <v>4506</v>
      </c>
      <c r="C259" s="653" t="s">
        <v>4507</v>
      </c>
      <c r="D259" s="591">
        <f>SUM(D260:D269)</f>
        <v>0</v>
      </c>
      <c r="E259" s="591">
        <f>SUM(E260:E269)</f>
        <v>2046903</v>
      </c>
      <c r="F259" s="574"/>
      <c r="G259" s="592"/>
      <c r="J259" s="577"/>
      <c r="K259" s="576"/>
    </row>
    <row r="260" spans="1:11" s="621" customFormat="1" ht="24.95" customHeight="1">
      <c r="A260" s="638" t="s">
        <v>4348</v>
      </c>
      <c r="B260" s="595" t="s">
        <v>3757</v>
      </c>
      <c r="C260" s="596" t="s">
        <v>4508</v>
      </c>
      <c r="D260" s="591">
        <f>'Alimentazione SP P'!I168</f>
        <v>0</v>
      </c>
      <c r="E260" s="591">
        <f>'Alimentazione SP P'!J168</f>
        <v>0</v>
      </c>
      <c r="F260" s="574"/>
      <c r="G260" s="592"/>
      <c r="J260" s="577"/>
      <c r="K260" s="576"/>
    </row>
    <row r="261" spans="1:11" s="621" customFormat="1" ht="24.95" customHeight="1">
      <c r="A261" s="638"/>
      <c r="B261" s="595" t="s">
        <v>3759</v>
      </c>
      <c r="C261" s="596" t="s">
        <v>4509</v>
      </c>
      <c r="D261" s="591">
        <f>'Alimentazione SP P'!I169</f>
        <v>0</v>
      </c>
      <c r="E261" s="591">
        <f>'Alimentazione SP P'!J169</f>
        <v>1622961</v>
      </c>
      <c r="F261" s="574"/>
      <c r="G261" s="592"/>
      <c r="J261" s="577"/>
      <c r="K261" s="576"/>
    </row>
    <row r="262" spans="1:11" s="593" customFormat="1" ht="24.95" customHeight="1">
      <c r="A262" s="638" t="s">
        <v>1522</v>
      </c>
      <c r="B262" s="595" t="s">
        <v>3761</v>
      </c>
      <c r="C262" s="596" t="s">
        <v>4510</v>
      </c>
      <c r="D262" s="591">
        <f>+'Alimentazione SP P'!I170</f>
        <v>0</v>
      </c>
      <c r="E262" s="591">
        <f>+'Alimentazione SP P'!J170</f>
        <v>0</v>
      </c>
      <c r="F262" s="574"/>
      <c r="G262" s="592"/>
      <c r="J262" s="577"/>
      <c r="K262" s="576"/>
    </row>
    <row r="263" spans="1:11" s="593" customFormat="1" ht="24.95" customHeight="1">
      <c r="A263" s="668" t="s">
        <v>4348</v>
      </c>
      <c r="B263" s="656" t="s">
        <v>3763</v>
      </c>
      <c r="C263" s="657" t="s">
        <v>4511</v>
      </c>
      <c r="D263" s="591">
        <f>+'Alimentazione SP P'!I171</f>
        <v>0</v>
      </c>
      <c r="E263" s="591">
        <f>+'Alimentazione SP P'!J171</f>
        <v>407108</v>
      </c>
      <c r="F263" s="574"/>
      <c r="G263" s="592"/>
      <c r="J263" s="577"/>
      <c r="K263" s="576"/>
    </row>
    <row r="264" spans="1:11" s="621" customFormat="1" ht="24.95" customHeight="1">
      <c r="A264" s="618" t="s">
        <v>4348</v>
      </c>
      <c r="B264" s="669" t="s">
        <v>3765</v>
      </c>
      <c r="C264" s="670" t="s">
        <v>4512</v>
      </c>
      <c r="D264" s="591">
        <f>+'Alimentazione SP P'!I172</f>
        <v>0</v>
      </c>
      <c r="E264" s="591">
        <f>+'Alimentazione SP P'!J172</f>
        <v>0</v>
      </c>
      <c r="F264" s="574"/>
      <c r="G264" s="592"/>
      <c r="J264" s="577"/>
      <c r="K264" s="576"/>
    </row>
    <row r="265" spans="1:11" s="593" customFormat="1" ht="24.95" customHeight="1">
      <c r="A265" s="618" t="s">
        <v>4348</v>
      </c>
      <c r="B265" s="669" t="s">
        <v>3767</v>
      </c>
      <c r="C265" s="670" t="s">
        <v>4513</v>
      </c>
      <c r="D265" s="591">
        <f>+'Alimentazione SP P'!I173</f>
        <v>0</v>
      </c>
      <c r="E265" s="591">
        <f>+'Alimentazione SP P'!J173</f>
        <v>0</v>
      </c>
      <c r="F265" s="574"/>
      <c r="G265" s="592"/>
      <c r="J265" s="577"/>
      <c r="K265" s="576"/>
    </row>
    <row r="266" spans="1:11" s="593" customFormat="1" ht="24.95" customHeight="1">
      <c r="A266" s="618" t="s">
        <v>4348</v>
      </c>
      <c r="B266" s="669" t="s">
        <v>3769</v>
      </c>
      <c r="C266" s="670" t="s">
        <v>4514</v>
      </c>
      <c r="D266" s="591">
        <f>+'Alimentazione SP P'!I174</f>
        <v>0</v>
      </c>
      <c r="E266" s="591">
        <f>+'Alimentazione SP P'!J174</f>
        <v>0</v>
      </c>
      <c r="F266" s="574"/>
      <c r="G266" s="592"/>
      <c r="J266" s="577"/>
      <c r="K266" s="576"/>
    </row>
    <row r="267" spans="1:11" s="593" customFormat="1" ht="24.95" customHeight="1">
      <c r="A267" s="671"/>
      <c r="B267" s="672" t="s">
        <v>3771</v>
      </c>
      <c r="C267" s="673" t="s">
        <v>4515</v>
      </c>
      <c r="D267" s="591">
        <f>+'Alimentazione SP P'!I175</f>
        <v>0</v>
      </c>
      <c r="E267" s="591">
        <f>+'Alimentazione SP P'!J175</f>
        <v>0</v>
      </c>
      <c r="F267" s="574"/>
      <c r="G267" s="592"/>
      <c r="J267" s="577"/>
      <c r="K267" s="576"/>
    </row>
    <row r="268" spans="1:11" s="621" customFormat="1" ht="24.95" customHeight="1">
      <c r="A268" s="674" t="s">
        <v>4348</v>
      </c>
      <c r="B268" s="669" t="s">
        <v>3773</v>
      </c>
      <c r="C268" s="670" t="s">
        <v>4516</v>
      </c>
      <c r="D268" s="591">
        <f>+'Alimentazione SP P'!I176</f>
        <v>0</v>
      </c>
      <c r="E268" s="591">
        <f>+'Alimentazione SP P'!J176</f>
        <v>0</v>
      </c>
      <c r="F268" s="574"/>
      <c r="G268" s="592"/>
      <c r="J268" s="577"/>
      <c r="K268" s="576"/>
    </row>
    <row r="269" spans="1:11" s="621" customFormat="1" ht="24.95" customHeight="1">
      <c r="A269" s="674"/>
      <c r="B269" s="669" t="s">
        <v>3775</v>
      </c>
      <c r="C269" s="670" t="s">
        <v>4517</v>
      </c>
      <c r="D269" s="591">
        <f>+'Alimentazione SP P'!I178+'Alimentazione SP P'!I179+'Alimentazione SP P'!I180+'Alimentazione SP P'!I181+'Alimentazione SP P'!I182</f>
        <v>0</v>
      </c>
      <c r="E269" s="591">
        <f>+'Alimentazione SP P'!J178+'Alimentazione SP P'!J179+'Alimentazione SP P'!J180+'Alimentazione SP P'!J181+'Alimentazione SP P'!J182</f>
        <v>16834</v>
      </c>
      <c r="F269" s="574"/>
      <c r="G269" s="592"/>
      <c r="J269" s="577"/>
      <c r="K269" s="576"/>
    </row>
    <row r="270" spans="1:11" s="593" customFormat="1" ht="24.95" customHeight="1">
      <c r="A270" s="588"/>
      <c r="B270" s="652" t="s">
        <v>3780</v>
      </c>
      <c r="C270" s="653" t="s">
        <v>4518</v>
      </c>
      <c r="D270" s="591">
        <f>+'Alimentazione SP P'!I184+'Alimentazione SP P'!I185+'Alimentazione SP P'!I186+'Alimentazione SP P'!I187</f>
        <v>0</v>
      </c>
      <c r="E270" s="591">
        <f>+'Alimentazione SP P'!J184+'Alimentazione SP P'!J185+'Alimentazione SP P'!J186+'Alimentazione SP P'!J187</f>
        <v>0</v>
      </c>
      <c r="F270" s="574"/>
      <c r="G270" s="592"/>
      <c r="J270" s="577"/>
      <c r="K270" s="576"/>
    </row>
    <row r="271" spans="1:11" s="593" customFormat="1" ht="24.95" customHeight="1">
      <c r="A271" s="588"/>
      <c r="B271" s="652" t="s">
        <v>3784</v>
      </c>
      <c r="C271" s="653" t="s">
        <v>4519</v>
      </c>
      <c r="D271" s="591">
        <f>+D272+D282+D283</f>
        <v>9352562</v>
      </c>
      <c r="E271" s="591">
        <f>+E272+E282+E283</f>
        <v>4369818</v>
      </c>
      <c r="F271" s="574"/>
      <c r="G271" s="592"/>
      <c r="J271" s="577"/>
      <c r="K271" s="576"/>
    </row>
    <row r="272" spans="1:11" s="593" customFormat="1" ht="24.95" customHeight="1">
      <c r="A272" s="588"/>
      <c r="B272" s="595" t="s">
        <v>3786</v>
      </c>
      <c r="C272" s="596" t="s">
        <v>4520</v>
      </c>
      <c r="D272" s="591">
        <f>SUM(D273:D281)</f>
        <v>9252188</v>
      </c>
      <c r="E272" s="591">
        <f>SUM(E273:E281)</f>
        <v>4261668</v>
      </c>
      <c r="F272" s="574"/>
      <c r="G272" s="592"/>
      <c r="J272" s="577"/>
      <c r="K272" s="576"/>
    </row>
    <row r="273" spans="1:11" s="593" customFormat="1" ht="24.95" customHeight="1">
      <c r="A273" s="588" t="s">
        <v>4348</v>
      </c>
      <c r="B273" s="589" t="s">
        <v>3788</v>
      </c>
      <c r="C273" s="590" t="s">
        <v>4521</v>
      </c>
      <c r="D273" s="591">
        <f>+'Alimentazione SP P'!I190</f>
        <v>0</v>
      </c>
      <c r="E273" s="591">
        <f>+'Alimentazione SP P'!J190</f>
        <v>0</v>
      </c>
      <c r="F273" s="574"/>
      <c r="G273" s="592"/>
      <c r="J273" s="577"/>
      <c r="K273" s="576"/>
    </row>
    <row r="274" spans="1:11" s="593" customFormat="1" ht="24.95" customHeight="1">
      <c r="A274" s="588" t="s">
        <v>4348</v>
      </c>
      <c r="B274" s="589" t="s">
        <v>3790</v>
      </c>
      <c r="C274" s="590" t="s">
        <v>4522</v>
      </c>
      <c r="D274" s="591">
        <f>+'Alimentazione SP P'!I191</f>
        <v>0</v>
      </c>
      <c r="E274" s="591">
        <f>+'Alimentazione SP P'!J191</f>
        <v>0</v>
      </c>
      <c r="F274" s="574"/>
      <c r="G274" s="592"/>
      <c r="J274" s="577"/>
      <c r="K274" s="576"/>
    </row>
    <row r="275" spans="1:11" s="593" customFormat="1" ht="24.95" customHeight="1">
      <c r="A275" s="588" t="s">
        <v>4348</v>
      </c>
      <c r="B275" s="589" t="s">
        <v>3792</v>
      </c>
      <c r="C275" s="590" t="s">
        <v>4523</v>
      </c>
      <c r="D275" s="591">
        <f>+'Alimentazione SP P'!I192</f>
        <v>0</v>
      </c>
      <c r="E275" s="591">
        <f>+'Alimentazione SP P'!J192</f>
        <v>0</v>
      </c>
      <c r="F275" s="574"/>
      <c r="G275" s="592"/>
      <c r="J275" s="577"/>
      <c r="K275" s="576"/>
    </row>
    <row r="276" spans="1:11" s="593" customFormat="1" ht="24.95" customHeight="1">
      <c r="A276" s="588" t="s">
        <v>1522</v>
      </c>
      <c r="B276" s="589" t="s">
        <v>3794</v>
      </c>
      <c r="C276" s="590" t="s">
        <v>4524</v>
      </c>
      <c r="D276" s="591">
        <f>+'Alimentazione SP P'!I193</f>
        <v>0</v>
      </c>
      <c r="E276" s="591">
        <f>+'Alimentazione SP P'!J193</f>
        <v>165102</v>
      </c>
      <c r="F276" s="574"/>
      <c r="G276" s="592"/>
      <c r="J276" s="577"/>
      <c r="K276" s="576"/>
    </row>
    <row r="277" spans="1:11" s="593" customFormat="1" ht="24.95" customHeight="1">
      <c r="A277" s="606" t="s">
        <v>1522</v>
      </c>
      <c r="B277" s="589" t="s">
        <v>3796</v>
      </c>
      <c r="C277" s="590" t="s">
        <v>4525</v>
      </c>
      <c r="D277" s="591">
        <f>+'Alimentazione SP P'!I195+'Alimentazione SP P'!I196+'Alimentazione SP P'!I197</f>
        <v>2967195</v>
      </c>
      <c r="E277" s="591">
        <f>+'Alimentazione SP P'!J195+'Alimentazione SP P'!J196+'Alimentazione SP P'!J197</f>
        <v>1718391</v>
      </c>
      <c r="F277" s="574"/>
      <c r="G277" s="592"/>
      <c r="J277" s="577"/>
      <c r="K277" s="576"/>
    </row>
    <row r="278" spans="1:11" s="593" customFormat="1" ht="24.95" customHeight="1">
      <c r="A278" s="606" t="s">
        <v>1522</v>
      </c>
      <c r="B278" s="589" t="s">
        <v>3798</v>
      </c>
      <c r="C278" s="590" t="s">
        <v>4526</v>
      </c>
      <c r="D278" s="591">
        <f>+'Alimentazione SP P'!I199+'Alimentazione SP P'!I200+'Alimentazione SP P'!I201</f>
        <v>6284993</v>
      </c>
      <c r="E278" s="591">
        <f>+'Alimentazione SP P'!J199+'Alimentazione SP P'!J200+'Alimentazione SP P'!J201</f>
        <v>2378175</v>
      </c>
      <c r="F278" s="574"/>
      <c r="G278" s="592"/>
      <c r="J278" s="577"/>
      <c r="K278" s="576"/>
    </row>
    <row r="279" spans="1:11" s="621" customFormat="1" ht="24.95" customHeight="1">
      <c r="A279" s="623" t="s">
        <v>4348</v>
      </c>
      <c r="B279" s="589" t="s">
        <v>3801</v>
      </c>
      <c r="C279" s="624" t="s">
        <v>4527</v>
      </c>
      <c r="D279" s="591">
        <f>+'Alimentazione SP P'!I202</f>
        <v>0</v>
      </c>
      <c r="E279" s="591">
        <f>+'Alimentazione SP P'!J202</f>
        <v>0</v>
      </c>
      <c r="G279" s="592"/>
      <c r="J279" s="577"/>
      <c r="K279" s="576"/>
    </row>
    <row r="280" spans="1:11" s="593" customFormat="1" ht="24.95" customHeight="1">
      <c r="A280" s="618" t="s">
        <v>1522</v>
      </c>
      <c r="B280" s="589" t="s">
        <v>3803</v>
      </c>
      <c r="C280" s="86" t="s">
        <v>4528</v>
      </c>
      <c r="D280" s="591">
        <f>+'Alimentazione SP P'!I203</f>
        <v>0</v>
      </c>
      <c r="E280" s="591">
        <f>+'Alimentazione SP P'!J203</f>
        <v>0</v>
      </c>
      <c r="F280" s="574"/>
      <c r="G280" s="592"/>
      <c r="J280" s="577"/>
      <c r="K280" s="576"/>
    </row>
    <row r="281" spans="1:11" s="621" customFormat="1" ht="24.95" customHeight="1">
      <c r="A281" s="625" t="s">
        <v>4348</v>
      </c>
      <c r="B281" s="675" t="s">
        <v>3805</v>
      </c>
      <c r="C281" s="86" t="s">
        <v>4529</v>
      </c>
      <c r="D281" s="591">
        <f>+'Alimentazione SP P'!I204</f>
        <v>0</v>
      </c>
      <c r="E281" s="591">
        <f>+'Alimentazione SP P'!J204</f>
        <v>0</v>
      </c>
      <c r="G281" s="592"/>
      <c r="J281" s="577"/>
      <c r="K281" s="576"/>
    </row>
    <row r="282" spans="1:11" s="593" customFormat="1" ht="24.95" customHeight="1">
      <c r="A282" s="638" t="s">
        <v>1571</v>
      </c>
      <c r="B282" s="595" t="s">
        <v>3807</v>
      </c>
      <c r="C282" s="596" t="s">
        <v>4530</v>
      </c>
      <c r="D282" s="591">
        <f>+'Alimentazione SP P'!I206+'Alimentazione SP P'!I207+'Alimentazione SP P'!I208</f>
        <v>100374</v>
      </c>
      <c r="E282" s="591">
        <f>+'Alimentazione SP P'!J206+'Alimentazione SP P'!J207+'Alimentazione SP P'!J208</f>
        <v>108150</v>
      </c>
      <c r="F282" s="574"/>
      <c r="G282" s="592"/>
      <c r="J282" s="577"/>
      <c r="K282" s="576"/>
    </row>
    <row r="283" spans="1:11" s="593" customFormat="1" ht="24.95" customHeight="1">
      <c r="A283" s="606"/>
      <c r="B283" s="595" t="s">
        <v>3810</v>
      </c>
      <c r="C283" s="596" t="s">
        <v>4531</v>
      </c>
      <c r="D283" s="591">
        <f>SUM(D284:D288)</f>
        <v>0</v>
      </c>
      <c r="E283" s="591">
        <f>SUM(E284:E288)</f>
        <v>0</v>
      </c>
      <c r="F283" s="574"/>
      <c r="G283" s="592"/>
      <c r="J283" s="577"/>
      <c r="K283" s="576"/>
    </row>
    <row r="284" spans="1:11" s="593" customFormat="1" ht="24.95" customHeight="1">
      <c r="A284" s="606" t="s">
        <v>4348</v>
      </c>
      <c r="B284" s="607" t="s">
        <v>3812</v>
      </c>
      <c r="C284" s="608" t="s">
        <v>4532</v>
      </c>
      <c r="D284" s="591">
        <f>+'Alimentazione SP P'!I210</f>
        <v>0</v>
      </c>
      <c r="E284" s="591">
        <f>+'Alimentazione SP P'!J210</f>
        <v>0</v>
      </c>
      <c r="F284" s="574"/>
      <c r="G284" s="592"/>
      <c r="J284" s="577"/>
      <c r="K284" s="576"/>
    </row>
    <row r="285" spans="1:11" s="593" customFormat="1" ht="24.95" customHeight="1">
      <c r="A285" s="606" t="s">
        <v>4348</v>
      </c>
      <c r="B285" s="607" t="s">
        <v>3814</v>
      </c>
      <c r="C285" s="608" t="s">
        <v>4533</v>
      </c>
      <c r="D285" s="591">
        <f>+'Alimentazione SP P'!I211</f>
        <v>0</v>
      </c>
      <c r="E285" s="591">
        <f>+'Alimentazione SP P'!J211</f>
        <v>0</v>
      </c>
      <c r="F285" s="574"/>
      <c r="G285" s="592"/>
      <c r="J285" s="577"/>
      <c r="K285" s="576"/>
    </row>
    <row r="286" spans="1:11" s="593" customFormat="1" ht="24.95" customHeight="1">
      <c r="A286" s="606" t="s">
        <v>4348</v>
      </c>
      <c r="B286" s="607" t="s">
        <v>3816</v>
      </c>
      <c r="C286" s="608" t="s">
        <v>4534</v>
      </c>
      <c r="D286" s="591">
        <f>+'Alimentazione SP P'!I212</f>
        <v>0</v>
      </c>
      <c r="E286" s="591">
        <f>+'Alimentazione SP P'!J212</f>
        <v>0</v>
      </c>
      <c r="F286" s="574"/>
      <c r="G286" s="592"/>
      <c r="J286" s="577"/>
      <c r="K286" s="576"/>
    </row>
    <row r="287" spans="1:11" s="593" customFormat="1" ht="24.95" customHeight="1">
      <c r="A287" s="606" t="s">
        <v>4348</v>
      </c>
      <c r="B287" s="607" t="s">
        <v>3818</v>
      </c>
      <c r="C287" s="608" t="s">
        <v>4535</v>
      </c>
      <c r="D287" s="591">
        <f>+'Alimentazione SP P'!I213</f>
        <v>0</v>
      </c>
      <c r="E287" s="591">
        <f>+'Alimentazione SP P'!J213</f>
        <v>0</v>
      </c>
      <c r="F287" s="574"/>
      <c r="G287" s="592"/>
      <c r="J287" s="577"/>
      <c r="K287" s="576"/>
    </row>
    <row r="288" spans="1:11" s="593" customFormat="1" ht="24.95" customHeight="1">
      <c r="A288" s="606" t="s">
        <v>4348</v>
      </c>
      <c r="B288" s="607" t="s">
        <v>3820</v>
      </c>
      <c r="C288" s="608" t="s">
        <v>4536</v>
      </c>
      <c r="D288" s="591">
        <f>+'Alimentazione SP P'!I214</f>
        <v>0</v>
      </c>
      <c r="E288" s="591">
        <f>+'Alimentazione SP P'!J214</f>
        <v>0</v>
      </c>
      <c r="F288" s="574"/>
      <c r="G288" s="592"/>
      <c r="J288" s="577"/>
      <c r="K288" s="576"/>
    </row>
    <row r="289" spans="1:11" s="593" customFormat="1" ht="24.95" customHeight="1">
      <c r="A289" s="588"/>
      <c r="B289" s="652" t="s">
        <v>4537</v>
      </c>
      <c r="C289" s="653" t="s">
        <v>4538</v>
      </c>
      <c r="D289" s="591">
        <f>+D290+D291+D292</f>
        <v>77</v>
      </c>
      <c r="E289" s="591">
        <f>+E290+E291+E292</f>
        <v>77</v>
      </c>
      <c r="F289" s="574"/>
      <c r="G289" s="592"/>
      <c r="J289" s="577"/>
      <c r="K289" s="576"/>
    </row>
    <row r="290" spans="1:11" s="593" customFormat="1" ht="24.95" customHeight="1">
      <c r="A290" s="588"/>
      <c r="B290" s="595" t="s">
        <v>3823</v>
      </c>
      <c r="C290" s="596" t="s">
        <v>4539</v>
      </c>
      <c r="D290" s="591">
        <f>+'Alimentazione SP P'!I216</f>
        <v>0</v>
      </c>
      <c r="E290" s="591">
        <f>+'Alimentazione SP P'!J216</f>
        <v>0</v>
      </c>
      <c r="F290" s="574"/>
      <c r="G290" s="592"/>
      <c r="J290" s="577"/>
      <c r="K290" s="576"/>
    </row>
    <row r="291" spans="1:11" s="593" customFormat="1" ht="24.95" customHeight="1">
      <c r="A291" s="588"/>
      <c r="B291" s="595" t="s">
        <v>3825</v>
      </c>
      <c r="C291" s="596" t="s">
        <v>4540</v>
      </c>
      <c r="D291" s="591">
        <f>+'Alimentazione SP P'!I217</f>
        <v>0</v>
      </c>
      <c r="E291" s="591">
        <f>+'Alimentazione SP P'!J217</f>
        <v>0</v>
      </c>
      <c r="F291" s="574"/>
      <c r="G291" s="592"/>
      <c r="J291" s="577"/>
      <c r="K291" s="576"/>
    </row>
    <row r="292" spans="1:11" s="593" customFormat="1" ht="24.95" customHeight="1">
      <c r="A292" s="588"/>
      <c r="B292" s="595" t="s">
        <v>3827</v>
      </c>
      <c r="C292" s="596" t="s">
        <v>4541</v>
      </c>
      <c r="D292" s="591">
        <f>+'Alimentazione SP P'!I219+'Alimentazione SP P'!I220+'Alimentazione SP P'!I221</f>
        <v>77</v>
      </c>
      <c r="E292" s="591">
        <f>+'Alimentazione SP P'!J219+'Alimentazione SP P'!J220+'Alimentazione SP P'!J221</f>
        <v>77</v>
      </c>
      <c r="F292" s="574"/>
      <c r="G292" s="592"/>
      <c r="J292" s="577"/>
      <c r="K292" s="576"/>
    </row>
    <row r="293" spans="1:11" s="593" customFormat="1" ht="24.95" customHeight="1">
      <c r="A293" s="588"/>
      <c r="B293" s="652" t="s">
        <v>4542</v>
      </c>
      <c r="C293" s="653" t="s">
        <v>4543</v>
      </c>
      <c r="D293" s="591">
        <f>+D294+D297</f>
        <v>10626764</v>
      </c>
      <c r="E293" s="591">
        <f>+E294+E297</f>
        <v>9439153</v>
      </c>
      <c r="F293" s="574"/>
      <c r="G293" s="592"/>
      <c r="J293" s="577"/>
      <c r="K293" s="576"/>
    </row>
    <row r="294" spans="1:11" s="593" customFormat="1" ht="25.5">
      <c r="A294" s="588"/>
      <c r="B294" s="595" t="s">
        <v>3830</v>
      </c>
      <c r="C294" s="596" t="s">
        <v>4544</v>
      </c>
      <c r="D294" s="591">
        <f>+D295+D296</f>
        <v>0</v>
      </c>
      <c r="E294" s="591">
        <f>+E295+E296</f>
        <v>0</v>
      </c>
      <c r="F294" s="574"/>
      <c r="G294" s="592"/>
      <c r="J294" s="577"/>
      <c r="K294" s="576"/>
    </row>
    <row r="295" spans="1:11" s="593" customFormat="1" ht="21">
      <c r="A295" s="588"/>
      <c r="B295" s="663" t="s">
        <v>3831</v>
      </c>
      <c r="C295" s="676" t="s">
        <v>4545</v>
      </c>
      <c r="D295" s="591">
        <f>+'Alimentazione SP P'!I225+'Alimentazione SP P'!I226</f>
        <v>0</v>
      </c>
      <c r="E295" s="591">
        <f>+'Alimentazione SP P'!J225+'Alimentazione SP P'!J226</f>
        <v>0</v>
      </c>
      <c r="F295" s="574"/>
      <c r="G295" s="592"/>
      <c r="J295" s="577"/>
      <c r="K295" s="576"/>
    </row>
    <row r="296" spans="1:11" s="593" customFormat="1" ht="21">
      <c r="A296" s="588"/>
      <c r="B296" s="663" t="s">
        <v>3833</v>
      </c>
      <c r="C296" s="676" t="s">
        <v>4546</v>
      </c>
      <c r="D296" s="591">
        <f>+'Alimentazione SP P'!I227</f>
        <v>0</v>
      </c>
      <c r="E296" s="591">
        <f>+'Alimentazione SP P'!J227</f>
        <v>0</v>
      </c>
      <c r="F296" s="574"/>
      <c r="G296" s="592"/>
      <c r="J296" s="577"/>
      <c r="K296" s="576"/>
    </row>
    <row r="297" spans="1:11" s="593" customFormat="1" ht="21">
      <c r="A297" s="588"/>
      <c r="B297" s="663" t="s">
        <v>3835</v>
      </c>
      <c r="C297" s="676" t="s">
        <v>4547</v>
      </c>
      <c r="D297" s="591">
        <f>+D298+D299</f>
        <v>10626764</v>
      </c>
      <c r="E297" s="591">
        <f>+E298+E299</f>
        <v>9439153</v>
      </c>
      <c r="F297" s="574"/>
      <c r="G297" s="592"/>
      <c r="J297" s="577"/>
      <c r="K297" s="576"/>
    </row>
    <row r="298" spans="1:11" s="593" customFormat="1" ht="21">
      <c r="A298" s="588"/>
      <c r="B298" s="677" t="s">
        <v>3836</v>
      </c>
      <c r="C298" s="678" t="s">
        <v>4548</v>
      </c>
      <c r="D298" s="591">
        <f>+'Alimentazione SP P'!I230+'Alimentazione SP P'!I231+'Alimentazione SP P'!I232+'Alimentazione SP P'!I233+'Alimentazione SP P'!I234+'Alimentazione SP P'!I235</f>
        <v>11057765</v>
      </c>
      <c r="E298" s="591">
        <f>+'Alimentazione SP P'!J230+'Alimentazione SP P'!J231+'Alimentazione SP P'!J232+'Alimentazione SP P'!J233+'Alimentazione SP P'!J234+'Alimentazione SP P'!J235</f>
        <v>9886775</v>
      </c>
      <c r="F298" s="574"/>
      <c r="G298" s="592"/>
      <c r="J298" s="577"/>
      <c r="K298" s="576"/>
    </row>
    <row r="299" spans="1:11" s="593" customFormat="1" ht="21">
      <c r="A299" s="588"/>
      <c r="B299" s="677" t="s">
        <v>3843</v>
      </c>
      <c r="C299" s="678" t="s">
        <v>4549</v>
      </c>
      <c r="D299" s="591">
        <f>+'Alimentazione SP P'!I236</f>
        <v>-431001</v>
      </c>
      <c r="E299" s="591">
        <f>+'Alimentazione SP P'!J236</f>
        <v>-447622</v>
      </c>
      <c r="F299" s="574"/>
      <c r="G299" s="592"/>
      <c r="J299" s="577"/>
      <c r="K299" s="576"/>
    </row>
    <row r="300" spans="1:11" s="593" customFormat="1" ht="24.95" customHeight="1">
      <c r="A300" s="588"/>
      <c r="B300" s="652" t="s">
        <v>3846</v>
      </c>
      <c r="C300" s="653" t="s">
        <v>4550</v>
      </c>
      <c r="D300" s="591">
        <f>+'Alimentazione SP P'!I238+'Alimentazione SP P'!I239</f>
        <v>0</v>
      </c>
      <c r="E300" s="591">
        <f>+'Alimentazione SP P'!J238+'Alimentazione SP P'!J239</f>
        <v>0</v>
      </c>
      <c r="F300" s="574"/>
      <c r="G300" s="592"/>
      <c r="J300" s="577"/>
      <c r="K300" s="576"/>
    </row>
    <row r="301" spans="1:11" s="593" customFormat="1" ht="24.95" customHeight="1">
      <c r="A301" s="588"/>
      <c r="B301" s="652" t="s">
        <v>3850</v>
      </c>
      <c r="C301" s="653" t="s">
        <v>4551</v>
      </c>
      <c r="D301" s="591">
        <f>+SUM('Alimentazione SP P'!I241:I249)</f>
        <v>2198117</v>
      </c>
      <c r="E301" s="591">
        <f>+SUM('Alimentazione SP P'!J241:J249)</f>
        <v>2245147</v>
      </c>
      <c r="F301" s="574"/>
      <c r="G301" s="592"/>
      <c r="J301" s="577"/>
      <c r="K301" s="576"/>
    </row>
    <row r="302" spans="1:11" s="593" customFormat="1" ht="24.95" customHeight="1">
      <c r="A302" s="588"/>
      <c r="B302" s="652" t="s">
        <v>3859</v>
      </c>
      <c r="C302" s="653" t="s">
        <v>4552</v>
      </c>
      <c r="D302" s="591">
        <f>+SUM('Alimentazione SP P'!I251:I259)</f>
        <v>1882677</v>
      </c>
      <c r="E302" s="591">
        <f>+SUM('Alimentazione SP P'!J251:J259)</f>
        <v>1835808</v>
      </c>
      <c r="F302" s="574"/>
      <c r="G302" s="592"/>
      <c r="J302" s="577"/>
      <c r="K302" s="576"/>
    </row>
    <row r="303" spans="1:11" s="593" customFormat="1" ht="24.95" customHeight="1">
      <c r="A303" s="588"/>
      <c r="B303" s="652" t="s">
        <v>4553</v>
      </c>
      <c r="C303" s="653" t="s">
        <v>4554</v>
      </c>
      <c r="D303" s="591">
        <f>+D304+D305+D306+D307</f>
        <v>4709211</v>
      </c>
      <c r="E303" s="591">
        <f>+E304+E305+E306+E307</f>
        <v>5267058</v>
      </c>
      <c r="F303" s="574"/>
      <c r="G303" s="592"/>
      <c r="J303" s="577"/>
      <c r="K303" s="576"/>
    </row>
    <row r="304" spans="1:11" s="593" customFormat="1" ht="24.95" customHeight="1">
      <c r="A304" s="588"/>
      <c r="B304" s="595" t="s">
        <v>3871</v>
      </c>
      <c r="C304" s="596" t="s">
        <v>4555</v>
      </c>
      <c r="D304" s="591">
        <f>+'Alimentazione SP P'!I261</f>
        <v>0</v>
      </c>
      <c r="E304" s="591">
        <f>+'Alimentazione SP P'!J261</f>
        <v>0</v>
      </c>
      <c r="F304" s="574"/>
      <c r="G304" s="592"/>
      <c r="J304" s="577"/>
      <c r="K304" s="576"/>
    </row>
    <row r="305" spans="1:11" s="593" customFormat="1" ht="24.95" customHeight="1">
      <c r="A305" s="588"/>
      <c r="B305" s="595" t="s">
        <v>3873</v>
      </c>
      <c r="C305" s="596" t="s">
        <v>4556</v>
      </c>
      <c r="D305" s="591">
        <f>+'Alimentazione SP P'!I263+'Alimentazione SP P'!I264</f>
        <v>3422194</v>
      </c>
      <c r="E305" s="591">
        <f>+'Alimentazione SP P'!J263+'Alimentazione SP P'!J264</f>
        <v>3975980</v>
      </c>
      <c r="F305" s="574"/>
      <c r="G305" s="592"/>
      <c r="J305" s="577"/>
      <c r="K305" s="576"/>
    </row>
    <row r="306" spans="1:11" s="593" customFormat="1" ht="24.95" customHeight="1">
      <c r="A306" s="588"/>
      <c r="B306" s="595" t="s">
        <v>3877</v>
      </c>
      <c r="C306" s="596" t="s">
        <v>4557</v>
      </c>
      <c r="D306" s="591">
        <f>+'Alimentazione SP P'!I266+'Alimentazione SP P'!I267</f>
        <v>0</v>
      </c>
      <c r="E306" s="591">
        <f>+'Alimentazione SP P'!J266+'Alimentazione SP P'!J267</f>
        <v>0</v>
      </c>
      <c r="F306" s="574"/>
      <c r="G306" s="592"/>
      <c r="J306" s="577"/>
      <c r="K306" s="576"/>
    </row>
    <row r="307" spans="1:11" s="593" customFormat="1" ht="24.95" customHeight="1" thickBot="1">
      <c r="A307" s="598"/>
      <c r="B307" s="636" t="s">
        <v>3881</v>
      </c>
      <c r="C307" s="637" t="s">
        <v>4558</v>
      </c>
      <c r="D307" s="591">
        <f>+SUM('Alimentazione SP P'!I269:I288)</f>
        <v>1287017</v>
      </c>
      <c r="E307" s="591">
        <f>+SUM('Alimentazione SP P'!J269:J288)</f>
        <v>1291078</v>
      </c>
      <c r="F307" s="610"/>
      <c r="G307" s="622"/>
      <c r="J307" s="577"/>
      <c r="K307" s="576"/>
    </row>
    <row r="308" spans="1:11" s="593" customFormat="1" ht="24.95" customHeight="1">
      <c r="A308" s="644"/>
      <c r="B308" s="571" t="s">
        <v>4559</v>
      </c>
      <c r="C308" s="572" t="s">
        <v>4560</v>
      </c>
      <c r="D308" s="605">
        <f>+D309+D312</f>
        <v>0</v>
      </c>
      <c r="E308" s="605">
        <f>+E309+E312</f>
        <v>398</v>
      </c>
      <c r="F308" s="574"/>
      <c r="G308" s="592"/>
      <c r="J308" s="577"/>
      <c r="K308" s="576"/>
    </row>
    <row r="309" spans="1:11" s="593" customFormat="1" ht="24.95" customHeight="1">
      <c r="A309" s="588"/>
      <c r="B309" s="652" t="s">
        <v>4561</v>
      </c>
      <c r="C309" s="653" t="s">
        <v>4562</v>
      </c>
      <c r="D309" s="591">
        <f>+D310+D311</f>
        <v>0</v>
      </c>
      <c r="E309" s="591">
        <f>+E310+E311</f>
        <v>398</v>
      </c>
      <c r="F309" s="574"/>
      <c r="G309" s="592"/>
      <c r="J309" s="577"/>
      <c r="K309" s="576"/>
    </row>
    <row r="310" spans="1:11" s="593" customFormat="1" ht="24.95" customHeight="1">
      <c r="A310" s="588"/>
      <c r="B310" s="595" t="s">
        <v>3899</v>
      </c>
      <c r="C310" s="596" t="s">
        <v>4563</v>
      </c>
      <c r="D310" s="591">
        <f>+'Alimentazione SP P'!I291</f>
        <v>0</v>
      </c>
      <c r="E310" s="591">
        <f>+'Alimentazione SP P'!J291</f>
        <v>398</v>
      </c>
      <c r="F310" s="574"/>
      <c r="G310" s="592"/>
      <c r="J310" s="577"/>
      <c r="K310" s="576"/>
    </row>
    <row r="311" spans="1:11" s="593" customFormat="1" ht="24.95" customHeight="1">
      <c r="A311" s="638" t="s">
        <v>1522</v>
      </c>
      <c r="B311" s="595" t="s">
        <v>3901</v>
      </c>
      <c r="C311" s="596" t="s">
        <v>4564</v>
      </c>
      <c r="D311" s="591">
        <f>+'Alimentazione SP P'!I292</f>
        <v>0</v>
      </c>
      <c r="E311" s="591">
        <f>+'Alimentazione SP P'!J292</f>
        <v>0</v>
      </c>
      <c r="F311" s="574"/>
      <c r="G311" s="592"/>
      <c r="J311" s="577"/>
      <c r="K311" s="576"/>
    </row>
    <row r="312" spans="1:11" s="593" customFormat="1" ht="24.95" customHeight="1">
      <c r="A312" s="588"/>
      <c r="B312" s="652" t="s">
        <v>4565</v>
      </c>
      <c r="C312" s="653" t="s">
        <v>4566</v>
      </c>
      <c r="D312" s="591">
        <f>+D313+D314+D315</f>
        <v>0</v>
      </c>
      <c r="E312" s="591">
        <f>+E313+E314+E315</f>
        <v>0</v>
      </c>
      <c r="F312" s="574"/>
      <c r="G312" s="592"/>
      <c r="J312" s="577"/>
      <c r="K312" s="576"/>
    </row>
    <row r="313" spans="1:11" s="593" customFormat="1" ht="24.95" customHeight="1">
      <c r="A313" s="588"/>
      <c r="B313" s="595" t="s">
        <v>3904</v>
      </c>
      <c r="C313" s="596" t="s">
        <v>4567</v>
      </c>
      <c r="D313" s="591">
        <f>+'Alimentazione SP P'!I294</f>
        <v>0</v>
      </c>
      <c r="E313" s="591">
        <f>+'Alimentazione SP P'!J294</f>
        <v>0</v>
      </c>
      <c r="F313" s="574"/>
      <c r="G313" s="592"/>
      <c r="J313" s="577"/>
      <c r="K313" s="576"/>
    </row>
    <row r="314" spans="1:11" s="593" customFormat="1" ht="24.95" customHeight="1">
      <c r="A314" s="679" t="s">
        <v>1522</v>
      </c>
      <c r="B314" s="660" t="s">
        <v>3906</v>
      </c>
      <c r="C314" s="661" t="s">
        <v>4568</v>
      </c>
      <c r="D314" s="591">
        <f>+'Alimentazione SP P'!I295</f>
        <v>0</v>
      </c>
      <c r="E314" s="591">
        <f>+'Alimentazione SP P'!J295</f>
        <v>0</v>
      </c>
      <c r="F314" s="574"/>
      <c r="G314" s="592"/>
      <c r="J314" s="577"/>
      <c r="K314" s="576"/>
    </row>
    <row r="315" spans="1:11" s="621" customFormat="1" ht="37.5" customHeight="1">
      <c r="A315" s="588"/>
      <c r="B315" s="595" t="s">
        <v>3908</v>
      </c>
      <c r="C315" s="596" t="s">
        <v>4569</v>
      </c>
      <c r="D315" s="591">
        <f>+'Alimentazione SP P'!I296</f>
        <v>0</v>
      </c>
      <c r="E315" s="591">
        <f>+'Alimentazione SP P'!J296</f>
        <v>0</v>
      </c>
      <c r="F315" s="574"/>
      <c r="G315" s="592"/>
      <c r="J315" s="577"/>
      <c r="K315" s="576"/>
    </row>
    <row r="316" spans="1:11" s="593" customFormat="1" ht="24.95" customHeight="1" thickBot="1">
      <c r="A316" s="640"/>
      <c r="B316" s="680" t="s">
        <v>3910</v>
      </c>
      <c r="C316" s="681" t="s">
        <v>4570</v>
      </c>
      <c r="D316" s="682">
        <f>+D308+D251+D247+D214+D190</f>
        <v>111563634</v>
      </c>
      <c r="E316" s="682">
        <f>+E308+E251+E247+E214+E190</f>
        <v>109775459</v>
      </c>
      <c r="F316" s="574"/>
      <c r="G316" s="592"/>
      <c r="J316" s="577"/>
      <c r="K316" s="576"/>
    </row>
    <row r="317" spans="1:11" s="593" customFormat="1" ht="24.95" customHeight="1">
      <c r="A317" s="644"/>
      <c r="B317" s="571" t="s">
        <v>4571</v>
      </c>
      <c r="C317" s="645" t="s">
        <v>4572</v>
      </c>
      <c r="D317" s="646">
        <f>+D318+D319+D320+D321+D322</f>
        <v>2898397</v>
      </c>
      <c r="E317" s="646">
        <f>+E318+E319+E320+E321+E322</f>
        <v>2802427</v>
      </c>
      <c r="F317" s="574"/>
      <c r="G317" s="592"/>
      <c r="J317" s="577"/>
      <c r="K317" s="576"/>
    </row>
    <row r="318" spans="1:11" s="593" customFormat="1" ht="24.95" customHeight="1">
      <c r="A318" s="588"/>
      <c r="B318" s="647" t="s">
        <v>3917</v>
      </c>
      <c r="C318" s="648" t="s">
        <v>4573</v>
      </c>
      <c r="D318" s="591">
        <f>+'Alimentazione SP P'!I303</f>
        <v>116759</v>
      </c>
      <c r="E318" s="591">
        <f>+'Alimentazione SP P'!J303</f>
        <v>20264</v>
      </c>
      <c r="F318" s="574"/>
      <c r="G318" s="592"/>
      <c r="J318" s="577"/>
      <c r="K318" s="576"/>
    </row>
    <row r="319" spans="1:11" s="593" customFormat="1" ht="24.95" customHeight="1">
      <c r="A319" s="588"/>
      <c r="B319" s="647" t="s">
        <v>3919</v>
      </c>
      <c r="C319" s="648" t="s">
        <v>4574</v>
      </c>
      <c r="D319" s="591">
        <f>+'Alimentazione SP P'!I304</f>
        <v>0</v>
      </c>
      <c r="E319" s="591">
        <f>+'Alimentazione SP P'!J304</f>
        <v>0</v>
      </c>
      <c r="F319" s="574"/>
      <c r="G319" s="592"/>
      <c r="J319" s="577"/>
      <c r="K319" s="576"/>
    </row>
    <row r="320" spans="1:11" s="593" customFormat="1" ht="24.95" customHeight="1">
      <c r="A320" s="588"/>
      <c r="B320" s="647" t="s">
        <v>3921</v>
      </c>
      <c r="C320" s="648" t="s">
        <v>4575</v>
      </c>
      <c r="D320" s="591">
        <f>+'Alimentazione SP P'!I305</f>
        <v>0</v>
      </c>
      <c r="E320" s="591">
        <f>+'Alimentazione SP P'!J305</f>
        <v>0</v>
      </c>
      <c r="F320" s="574"/>
      <c r="G320" s="592"/>
      <c r="J320" s="577"/>
      <c r="K320" s="576"/>
    </row>
    <row r="321" spans="1:27" s="593" customFormat="1" ht="24.95" customHeight="1">
      <c r="A321" s="649"/>
      <c r="B321" s="647" t="s">
        <v>3923</v>
      </c>
      <c r="C321" s="648" t="s">
        <v>4576</v>
      </c>
      <c r="D321" s="591">
        <f>+'Alimentazione SP P'!I306</f>
        <v>0</v>
      </c>
      <c r="E321" s="591">
        <f>+'Alimentazione SP P'!J306</f>
        <v>0</v>
      </c>
      <c r="F321" s="574"/>
      <c r="G321" s="592"/>
      <c r="J321" s="577"/>
      <c r="K321" s="576"/>
    </row>
    <row r="322" spans="1:27" s="593" customFormat="1" ht="24.95" customHeight="1" thickBot="1">
      <c r="A322" s="598"/>
      <c r="B322" s="650" t="s">
        <v>3925</v>
      </c>
      <c r="C322" s="651" t="s">
        <v>4577</v>
      </c>
      <c r="D322" s="683">
        <f>+'Alimentazione SP P'!I308+'Alimentazione SP P'!I309+'Alimentazione SP P'!I310+'Alimentazione SP P'!I311+'Alimentazione SP P'!I312+'Alimentazione SP P'!I313+'Alimentazione SP P'!I314</f>
        <v>2781638</v>
      </c>
      <c r="E322" s="683">
        <f>+'Alimentazione SP P'!J308+'Alimentazione SP P'!J309+'Alimentazione SP P'!J310+'Alimentazione SP P'!J311+'Alimentazione SP P'!J312+'Alimentazione SP P'!J313+'Alimentazione SP P'!J314</f>
        <v>2782163</v>
      </c>
      <c r="F322" s="574"/>
      <c r="G322" s="592"/>
      <c r="J322" s="577"/>
      <c r="K322" s="576"/>
    </row>
    <row r="323" spans="1:27" s="99" customFormat="1">
      <c r="A323" s="67"/>
      <c r="B323" s="67"/>
      <c r="C323" s="66"/>
      <c r="D323" s="553"/>
      <c r="E323" s="66"/>
      <c r="F323" s="558"/>
      <c r="G323" s="684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</row>
    <row r="324" spans="1:27" s="99" customFormat="1">
      <c r="A324" s="67"/>
      <c r="B324" s="67"/>
      <c r="C324" s="66"/>
      <c r="D324" s="553"/>
      <c r="E324" s="66"/>
      <c r="F324" s="558"/>
      <c r="G324" s="684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</row>
    <row r="325" spans="1:27" s="99" customFormat="1">
      <c r="A325" s="67"/>
      <c r="B325" s="67"/>
      <c r="C325" s="66"/>
      <c r="D325" s="553"/>
      <c r="E325" s="66"/>
      <c r="F325" s="558"/>
      <c r="G325" s="684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</row>
    <row r="326" spans="1:27" s="99" customFormat="1">
      <c r="A326" s="67"/>
      <c r="B326" s="67"/>
      <c r="C326" s="66"/>
      <c r="D326" s="553"/>
      <c r="E326" s="66"/>
      <c r="F326" s="558"/>
      <c r="G326" s="684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</row>
    <row r="327" spans="1:27" s="99" customFormat="1">
      <c r="A327" s="67"/>
      <c r="B327" s="67"/>
      <c r="C327" s="66"/>
      <c r="D327" s="553"/>
      <c r="E327" s="66"/>
      <c r="F327" s="558"/>
      <c r="G327" s="684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</row>
    <row r="328" spans="1:27" s="99" customFormat="1">
      <c r="A328" s="67"/>
      <c r="B328" s="67"/>
      <c r="C328" s="66"/>
      <c r="D328" s="553"/>
      <c r="E328" s="66"/>
      <c r="F328" s="558"/>
      <c r="G328" s="684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pans="1:27" s="99" customFormat="1">
      <c r="A329" s="67"/>
      <c r="B329" s="67"/>
      <c r="C329" s="66"/>
      <c r="D329" s="553"/>
      <c r="E329" s="66"/>
      <c r="F329" s="558"/>
      <c r="G329" s="684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</row>
    <row r="330" spans="1:27" s="99" customFormat="1">
      <c r="A330" s="67"/>
      <c r="B330" s="67"/>
      <c r="C330" s="66"/>
      <c r="D330" s="553"/>
      <c r="E330" s="66"/>
      <c r="F330" s="558"/>
      <c r="G330" s="684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</row>
    <row r="331" spans="1:27" s="99" customFormat="1">
      <c r="A331" s="67"/>
      <c r="B331" s="67"/>
      <c r="C331" s="66"/>
      <c r="D331" s="553"/>
      <c r="E331" s="66"/>
      <c r="F331" s="558"/>
      <c r="G331" s="684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</row>
    <row r="332" spans="1:27" s="99" customFormat="1">
      <c r="A332" s="67"/>
      <c r="B332" s="67"/>
      <c r="C332" s="66"/>
      <c r="D332" s="553"/>
      <c r="E332" s="66"/>
      <c r="F332" s="558"/>
      <c r="G332" s="684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</row>
    <row r="333" spans="1:27" s="99" customFormat="1">
      <c r="A333" s="67"/>
      <c r="B333" s="67"/>
      <c r="C333" s="66"/>
      <c r="D333" s="553"/>
      <c r="E333" s="66"/>
      <c r="F333" s="558"/>
      <c r="G333" s="684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</row>
    <row r="334" spans="1:27" s="99" customFormat="1">
      <c r="A334" s="67"/>
      <c r="B334" s="67"/>
      <c r="C334" s="66"/>
      <c r="D334" s="553"/>
      <c r="E334" s="66"/>
      <c r="F334" s="558"/>
      <c r="G334" s="684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</row>
    <row r="335" spans="1:27" s="99" customFormat="1">
      <c r="A335" s="67"/>
      <c r="B335" s="67"/>
      <c r="C335" s="66"/>
      <c r="D335" s="553"/>
      <c r="E335" s="66"/>
      <c r="F335" s="558"/>
      <c r="G335" s="684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pans="1:27" s="99" customFormat="1">
      <c r="A336" s="67"/>
      <c r="B336" s="67"/>
      <c r="C336" s="66"/>
      <c r="D336" s="553"/>
      <c r="E336" s="66"/>
      <c r="F336" s="558"/>
      <c r="G336" s="684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</row>
    <row r="337" spans="1:27" s="99" customFormat="1">
      <c r="A337" s="67"/>
      <c r="B337" s="67"/>
      <c r="C337" s="66"/>
      <c r="D337" s="553"/>
      <c r="E337" s="66"/>
      <c r="F337" s="558"/>
      <c r="G337" s="684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</row>
    <row r="338" spans="1:27" s="99" customFormat="1">
      <c r="A338" s="67"/>
      <c r="B338" s="67"/>
      <c r="C338" s="66"/>
      <c r="D338" s="553"/>
      <c r="E338" s="66"/>
      <c r="F338" s="558"/>
      <c r="G338" s="684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</row>
    <row r="339" spans="1:27" s="99" customFormat="1">
      <c r="A339" s="67"/>
      <c r="B339" s="67"/>
      <c r="C339" s="66"/>
      <c r="D339" s="553"/>
      <c r="E339" s="66"/>
      <c r="F339" s="558"/>
      <c r="G339" s="684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</row>
    <row r="340" spans="1:27" s="99" customFormat="1">
      <c r="A340" s="67"/>
      <c r="B340" s="67"/>
      <c r="C340" s="66"/>
      <c r="D340" s="553"/>
      <c r="E340" s="66"/>
      <c r="F340" s="558"/>
      <c r="G340" s="684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pans="1:27" s="99" customFormat="1">
      <c r="A341" s="67"/>
      <c r="B341" s="67"/>
      <c r="C341" s="66"/>
      <c r="D341" s="553"/>
      <c r="E341" s="66"/>
      <c r="F341" s="558"/>
      <c r="G341" s="684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</row>
    <row r="342" spans="1:27" s="99" customFormat="1">
      <c r="A342" s="67"/>
      <c r="B342" s="67"/>
      <c r="C342" s="66"/>
      <c r="D342" s="553"/>
      <c r="E342" s="66"/>
      <c r="F342" s="558"/>
      <c r="G342" s="684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</row>
    <row r="343" spans="1:27" s="99" customFormat="1">
      <c r="A343" s="67"/>
      <c r="B343" s="67"/>
      <c r="C343" s="66"/>
      <c r="D343" s="553"/>
      <c r="E343" s="66"/>
      <c r="F343" s="558"/>
      <c r="G343" s="684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</row>
    <row r="344" spans="1:27" s="99" customFormat="1">
      <c r="A344" s="67"/>
      <c r="B344" s="67"/>
      <c r="C344" s="66"/>
      <c r="D344" s="553"/>
      <c r="E344" s="66"/>
      <c r="F344" s="558"/>
      <c r="G344" s="684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</row>
    <row r="345" spans="1:27" s="99" customFormat="1">
      <c r="A345" s="67"/>
      <c r="B345" s="67"/>
      <c r="C345" s="66"/>
      <c r="D345" s="553"/>
      <c r="E345" s="66"/>
      <c r="F345" s="558"/>
      <c r="G345" s="684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</row>
    <row r="346" spans="1:27" s="99" customFormat="1">
      <c r="A346" s="67"/>
      <c r="B346" s="67"/>
      <c r="C346" s="66"/>
      <c r="D346" s="553"/>
      <c r="E346" s="66"/>
      <c r="F346" s="558"/>
      <c r="G346" s="684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pans="1:27" s="99" customFormat="1">
      <c r="A347" s="67"/>
      <c r="B347" s="67"/>
      <c r="C347" s="66"/>
      <c r="D347" s="553"/>
      <c r="E347" s="66"/>
      <c r="F347" s="558"/>
      <c r="G347" s="684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</row>
    <row r="348" spans="1:27" s="99" customFormat="1">
      <c r="A348" s="67"/>
      <c r="B348" s="67"/>
      <c r="C348" s="66"/>
      <c r="D348" s="553"/>
      <c r="E348" s="66"/>
      <c r="F348" s="558"/>
      <c r="G348" s="684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pans="1:27" s="99" customFormat="1">
      <c r="A349" s="67"/>
      <c r="B349" s="67"/>
      <c r="C349" s="66"/>
      <c r="D349" s="553"/>
      <c r="E349" s="66"/>
      <c r="F349" s="558"/>
      <c r="G349" s="684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</row>
    <row r="350" spans="1:27" s="99" customFormat="1">
      <c r="A350" s="67"/>
      <c r="B350" s="67"/>
      <c r="C350" s="66"/>
      <c r="D350" s="553"/>
      <c r="E350" s="66"/>
      <c r="F350" s="558"/>
      <c r="G350" s="684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</row>
    <row r="351" spans="1:27" s="99" customFormat="1">
      <c r="A351" s="67"/>
      <c r="B351" s="67"/>
      <c r="C351" s="66"/>
      <c r="D351" s="553"/>
      <c r="E351" s="66"/>
      <c r="F351" s="558"/>
      <c r="G351" s="684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</row>
    <row r="352" spans="1:27" s="99" customFormat="1">
      <c r="A352" s="67"/>
      <c r="B352" s="67"/>
      <c r="C352" s="66"/>
      <c r="D352" s="553"/>
      <c r="E352" s="66"/>
      <c r="F352" s="558"/>
      <c r="G352" s="684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</row>
    <row r="353" spans="1:27" s="99" customFormat="1">
      <c r="A353" s="67"/>
      <c r="B353" s="67"/>
      <c r="C353" s="66"/>
      <c r="D353" s="553"/>
      <c r="E353" s="66"/>
      <c r="F353" s="558"/>
      <c r="G353" s="684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pans="1:27" s="99" customFormat="1">
      <c r="A354" s="67"/>
      <c r="B354" s="67"/>
      <c r="C354" s="66"/>
      <c r="D354" s="553"/>
      <c r="E354" s="66"/>
      <c r="F354" s="558"/>
      <c r="G354" s="684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pans="1:27" s="99" customFormat="1">
      <c r="A355" s="67"/>
      <c r="B355" s="67"/>
      <c r="C355" s="66"/>
      <c r="D355" s="553"/>
      <c r="E355" s="66"/>
      <c r="F355" s="558"/>
      <c r="G355" s="684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pans="1:27" s="99" customFormat="1">
      <c r="A356" s="67"/>
      <c r="B356" s="67"/>
      <c r="C356" s="66"/>
      <c r="D356" s="553"/>
      <c r="E356" s="66"/>
      <c r="F356" s="558"/>
      <c r="G356" s="684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</row>
    <row r="357" spans="1:27" s="99" customFormat="1">
      <c r="A357" s="67"/>
      <c r="B357" s="67"/>
      <c r="C357" s="66"/>
      <c r="D357" s="553"/>
      <c r="E357" s="66"/>
      <c r="F357" s="558"/>
      <c r="G357" s="684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</row>
    <row r="358" spans="1:27" s="99" customFormat="1">
      <c r="A358" s="67"/>
      <c r="B358" s="67"/>
      <c r="C358" s="66"/>
      <c r="D358" s="553"/>
      <c r="E358" s="66"/>
      <c r="F358" s="558"/>
      <c r="G358" s="684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</row>
    <row r="359" spans="1:27" s="99" customFormat="1">
      <c r="A359" s="67"/>
      <c r="B359" s="67"/>
      <c r="C359" s="66"/>
      <c r="D359" s="553"/>
      <c r="E359" s="66"/>
      <c r="F359" s="558"/>
      <c r="G359" s="684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7" s="99" customFormat="1">
      <c r="A360" s="67"/>
      <c r="B360" s="67"/>
      <c r="C360" s="66"/>
      <c r="D360" s="553"/>
      <c r="E360" s="66"/>
      <c r="F360" s="558"/>
      <c r="G360" s="684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</row>
    <row r="361" spans="1:27" s="99" customFormat="1">
      <c r="A361" s="67"/>
      <c r="B361" s="67"/>
      <c r="C361" s="66"/>
      <c r="D361" s="553"/>
      <c r="E361" s="66"/>
      <c r="F361" s="558"/>
      <c r="G361" s="684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</row>
    <row r="362" spans="1:27" s="99" customFormat="1">
      <c r="A362" s="67"/>
      <c r="B362" s="67"/>
      <c r="C362" s="66"/>
      <c r="D362" s="553"/>
      <c r="E362" s="66"/>
      <c r="F362" s="558"/>
      <c r="G362" s="684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</row>
    <row r="363" spans="1:27" s="99" customFormat="1">
      <c r="A363" s="67"/>
      <c r="B363" s="67"/>
      <c r="C363" s="66"/>
      <c r="D363" s="553"/>
      <c r="E363" s="66"/>
      <c r="F363" s="558"/>
      <c r="G363" s="684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pans="1:27" s="99" customFormat="1">
      <c r="A364" s="67"/>
      <c r="B364" s="67"/>
      <c r="C364" s="66"/>
      <c r="D364" s="553"/>
      <c r="E364" s="66"/>
      <c r="F364" s="558"/>
      <c r="G364" s="684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</row>
    <row r="365" spans="1:27" s="99" customFormat="1">
      <c r="A365" s="67"/>
      <c r="B365" s="67"/>
      <c r="C365" s="66"/>
      <c r="D365" s="553"/>
      <c r="E365" s="66"/>
      <c r="F365" s="558"/>
      <c r="G365" s="684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</row>
    <row r="366" spans="1:27" s="99" customFormat="1">
      <c r="A366" s="67"/>
      <c r="B366" s="67"/>
      <c r="C366" s="66"/>
      <c r="D366" s="553"/>
      <c r="E366" s="66"/>
      <c r="F366" s="558"/>
      <c r="G366" s="684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</row>
    <row r="367" spans="1:27" s="99" customFormat="1">
      <c r="A367" s="67"/>
      <c r="B367" s="67"/>
      <c r="C367" s="66"/>
      <c r="D367" s="553"/>
      <c r="E367" s="66"/>
      <c r="F367" s="558"/>
      <c r="G367" s="684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</row>
    <row r="368" spans="1:27" s="99" customFormat="1">
      <c r="A368" s="67"/>
      <c r="B368" s="67"/>
      <c r="C368" s="66"/>
      <c r="D368" s="553"/>
      <c r="E368" s="66"/>
      <c r="F368" s="558"/>
      <c r="G368" s="684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</row>
    <row r="369" spans="1:27" s="99" customFormat="1">
      <c r="A369" s="67"/>
      <c r="B369" s="67"/>
      <c r="C369" s="66"/>
      <c r="D369" s="553"/>
      <c r="E369" s="66"/>
      <c r="F369" s="558"/>
      <c r="G369" s="684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pans="1:27" s="99" customFormat="1">
      <c r="A370" s="67"/>
      <c r="B370" s="67"/>
      <c r="C370" s="66"/>
      <c r="D370" s="553"/>
      <c r="E370" s="66"/>
      <c r="F370" s="558"/>
      <c r="G370" s="684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</row>
    <row r="371" spans="1:27" s="99" customFormat="1">
      <c r="A371" s="67"/>
      <c r="B371" s="67"/>
      <c r="C371" s="66"/>
      <c r="D371" s="553"/>
      <c r="E371" s="66"/>
      <c r="F371" s="558"/>
      <c r="G371" s="684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</row>
    <row r="372" spans="1:27" s="99" customFormat="1">
      <c r="A372" s="67"/>
      <c r="B372" s="67"/>
      <c r="C372" s="66"/>
      <c r="D372" s="553"/>
      <c r="E372" s="66"/>
      <c r="F372" s="558"/>
      <c r="G372" s="684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</row>
    <row r="373" spans="1:27" s="99" customFormat="1">
      <c r="A373" s="67"/>
      <c r="B373" s="67"/>
      <c r="C373" s="66"/>
      <c r="D373" s="553"/>
      <c r="E373" s="66"/>
      <c r="F373" s="558"/>
      <c r="G373" s="684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pans="1:27" s="99" customFormat="1">
      <c r="A374" s="67"/>
      <c r="B374" s="67"/>
      <c r="C374" s="66"/>
      <c r="D374" s="553"/>
      <c r="E374" s="66"/>
      <c r="F374" s="558"/>
      <c r="G374" s="684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</row>
    <row r="375" spans="1:27" s="99" customFormat="1">
      <c r="A375" s="67"/>
      <c r="B375" s="67"/>
      <c r="C375" s="66"/>
      <c r="D375" s="553"/>
      <c r="E375" s="66"/>
      <c r="F375" s="558"/>
      <c r="G375" s="684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pans="1:27" s="99" customFormat="1">
      <c r="A376" s="67"/>
      <c r="B376" s="67"/>
      <c r="C376" s="66"/>
      <c r="D376" s="553"/>
      <c r="E376" s="66"/>
      <c r="F376" s="558"/>
      <c r="G376" s="684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</row>
    <row r="377" spans="1:27" s="99" customFormat="1">
      <c r="A377" s="67"/>
      <c r="B377" s="67"/>
      <c r="C377" s="66"/>
      <c r="D377" s="553"/>
      <c r="E377" s="66"/>
      <c r="F377" s="558"/>
      <c r="G377" s="684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</row>
    <row r="378" spans="1:27" s="99" customFormat="1">
      <c r="A378" s="67"/>
      <c r="B378" s="67"/>
      <c r="C378" s="66"/>
      <c r="D378" s="553"/>
      <c r="E378" s="66"/>
      <c r="F378" s="558"/>
      <c r="G378" s="684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</row>
    <row r="379" spans="1:27" s="99" customFormat="1">
      <c r="A379" s="67"/>
      <c r="B379" s="67"/>
      <c r="C379" s="66"/>
      <c r="D379" s="553"/>
      <c r="E379" s="66"/>
      <c r="F379" s="558"/>
      <c r="G379" s="684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</row>
    <row r="380" spans="1:27" s="99" customFormat="1">
      <c r="A380" s="67"/>
      <c r="B380" s="67"/>
      <c r="C380" s="66"/>
      <c r="D380" s="553"/>
      <c r="E380" s="66"/>
      <c r="F380" s="558"/>
      <c r="G380" s="684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</row>
    <row r="381" spans="1:27" s="99" customFormat="1">
      <c r="A381" s="67"/>
      <c r="B381" s="67"/>
      <c r="C381" s="66"/>
      <c r="D381" s="553"/>
      <c r="E381" s="66"/>
      <c r="F381" s="558"/>
      <c r="G381" s="684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</row>
    <row r="382" spans="1:27" s="99" customFormat="1">
      <c r="A382" s="67"/>
      <c r="B382" s="67"/>
      <c r="C382" s="66"/>
      <c r="D382" s="553"/>
      <c r="E382" s="66"/>
      <c r="F382" s="558"/>
      <c r="G382" s="684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</row>
    <row r="383" spans="1:27" s="99" customFormat="1">
      <c r="A383" s="67"/>
      <c r="B383" s="67"/>
      <c r="C383" s="66"/>
      <c r="D383" s="553"/>
      <c r="E383" s="66"/>
      <c r="F383" s="558"/>
      <c r="G383" s="684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</row>
    <row r="384" spans="1:27" s="99" customFormat="1">
      <c r="A384" s="67"/>
      <c r="B384" s="67"/>
      <c r="C384" s="66"/>
      <c r="D384" s="553"/>
      <c r="E384" s="66"/>
      <c r="F384" s="558"/>
      <c r="G384" s="684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</row>
    <row r="385" spans="1:27" s="99" customFormat="1">
      <c r="A385" s="67"/>
      <c r="B385" s="67"/>
      <c r="C385" s="66"/>
      <c r="D385" s="553"/>
      <c r="E385" s="66"/>
      <c r="F385" s="558"/>
      <c r="G385" s="684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</row>
    <row r="386" spans="1:27" s="99" customFormat="1">
      <c r="A386" s="67"/>
      <c r="B386" s="67"/>
      <c r="C386" s="66"/>
      <c r="D386" s="553"/>
      <c r="E386" s="66"/>
      <c r="F386" s="558"/>
      <c r="G386" s="684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</row>
    <row r="387" spans="1:27" s="99" customFormat="1">
      <c r="A387" s="67"/>
      <c r="B387" s="67"/>
      <c r="C387" s="66"/>
      <c r="D387" s="553"/>
      <c r="E387" s="66"/>
      <c r="F387" s="558"/>
      <c r="G387" s="684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</row>
    <row r="388" spans="1:27" s="99" customFormat="1">
      <c r="A388" s="67"/>
      <c r="B388" s="67"/>
      <c r="C388" s="66"/>
      <c r="D388" s="553"/>
      <c r="E388" s="66"/>
      <c r="F388" s="558"/>
      <c r="G388" s="684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</row>
    <row r="389" spans="1:27" s="99" customFormat="1">
      <c r="A389" s="67"/>
      <c r="B389" s="67"/>
      <c r="C389" s="66"/>
      <c r="D389" s="553"/>
      <c r="E389" s="66"/>
      <c r="F389" s="558"/>
      <c r="G389" s="684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</row>
    <row r="390" spans="1:27" s="99" customFormat="1">
      <c r="A390" s="67"/>
      <c r="B390" s="67"/>
      <c r="C390" s="66"/>
      <c r="D390" s="553"/>
      <c r="E390" s="66"/>
      <c r="F390" s="558"/>
      <c r="G390" s="684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</row>
    <row r="391" spans="1:27" s="99" customFormat="1">
      <c r="A391" s="67"/>
      <c r="B391" s="67"/>
      <c r="C391" s="66"/>
      <c r="D391" s="553"/>
      <c r="E391" s="66"/>
      <c r="F391" s="558"/>
      <c r="G391" s="684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</row>
    <row r="392" spans="1:27" s="99" customFormat="1">
      <c r="A392" s="67"/>
      <c r="B392" s="67"/>
      <c r="C392" s="66"/>
      <c r="D392" s="553"/>
      <c r="E392" s="66"/>
      <c r="F392" s="558"/>
      <c r="G392" s="684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</row>
    <row r="393" spans="1:27" s="99" customFormat="1">
      <c r="A393" s="67"/>
      <c r="B393" s="67"/>
      <c r="C393" s="66"/>
      <c r="D393" s="553"/>
      <c r="E393" s="66"/>
      <c r="F393" s="558"/>
      <c r="G393" s="684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</row>
    <row r="394" spans="1:27" s="99" customFormat="1">
      <c r="A394" s="67"/>
      <c r="B394" s="67"/>
      <c r="C394" s="66"/>
      <c r="D394" s="553"/>
      <c r="E394" s="66"/>
      <c r="F394" s="558"/>
      <c r="G394" s="684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</row>
    <row r="395" spans="1:27" s="99" customFormat="1">
      <c r="A395" s="67"/>
      <c r="B395" s="67"/>
      <c r="C395" s="66"/>
      <c r="D395" s="553"/>
      <c r="E395" s="66"/>
      <c r="F395" s="558"/>
      <c r="G395" s="684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</row>
    <row r="396" spans="1:27" s="99" customFormat="1">
      <c r="A396" s="67"/>
      <c r="B396" s="67"/>
      <c r="C396" s="66"/>
      <c r="D396" s="553"/>
      <c r="E396" s="66"/>
      <c r="F396" s="558"/>
      <c r="G396" s="684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</row>
    <row r="397" spans="1:27" s="99" customFormat="1">
      <c r="A397" s="67"/>
      <c r="B397" s="67"/>
      <c r="C397" s="66"/>
      <c r="D397" s="553"/>
      <c r="E397" s="66"/>
      <c r="F397" s="558"/>
      <c r="G397" s="684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</row>
    <row r="398" spans="1:27" s="99" customFormat="1">
      <c r="A398" s="67"/>
      <c r="B398" s="67"/>
      <c r="C398" s="66"/>
      <c r="D398" s="553"/>
      <c r="E398" s="66"/>
      <c r="F398" s="558"/>
      <c r="G398" s="684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</row>
    <row r="399" spans="1:27" s="99" customFormat="1">
      <c r="A399" s="67"/>
      <c r="B399" s="67"/>
      <c r="C399" s="66"/>
      <c r="D399" s="553"/>
      <c r="E399" s="66"/>
      <c r="F399" s="558"/>
      <c r="G399" s="684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</row>
    <row r="400" spans="1:27" s="99" customFormat="1">
      <c r="A400" s="67"/>
      <c r="B400" s="67"/>
      <c r="C400" s="66"/>
      <c r="D400" s="553"/>
      <c r="E400" s="66"/>
      <c r="F400" s="558"/>
      <c r="G400" s="684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</row>
    <row r="401" spans="1:27" s="99" customFormat="1">
      <c r="A401" s="67"/>
      <c r="B401" s="67"/>
      <c r="C401" s="66"/>
      <c r="D401" s="553"/>
      <c r="E401" s="66"/>
      <c r="F401" s="558"/>
      <c r="G401" s="684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</row>
    <row r="402" spans="1:27" s="99" customFormat="1">
      <c r="A402" s="67"/>
      <c r="B402" s="67"/>
      <c r="C402" s="66"/>
      <c r="D402" s="553"/>
      <c r="E402" s="66"/>
      <c r="F402" s="558"/>
      <c r="G402" s="684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</row>
    <row r="403" spans="1:27" s="99" customFormat="1">
      <c r="A403" s="67"/>
      <c r="B403" s="67"/>
      <c r="C403" s="66"/>
      <c r="D403" s="553"/>
      <c r="E403" s="66"/>
      <c r="F403" s="558"/>
      <c r="G403" s="684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</row>
    <row r="404" spans="1:27" s="99" customFormat="1">
      <c r="A404" s="67"/>
      <c r="B404" s="67"/>
      <c r="C404" s="66"/>
      <c r="D404" s="553"/>
      <c r="E404" s="66"/>
      <c r="F404" s="558"/>
      <c r="G404" s="684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</row>
    <row r="405" spans="1:27" s="99" customFormat="1">
      <c r="A405" s="67"/>
      <c r="B405" s="67"/>
      <c r="C405" s="66"/>
      <c r="D405" s="553"/>
      <c r="E405" s="66"/>
      <c r="F405" s="558"/>
      <c r="G405" s="684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</row>
    <row r="406" spans="1:27" s="99" customFormat="1">
      <c r="A406" s="67"/>
      <c r="B406" s="67"/>
      <c r="C406" s="66"/>
      <c r="D406" s="553"/>
      <c r="E406" s="66"/>
      <c r="F406" s="558"/>
      <c r="G406" s="684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</row>
    <row r="407" spans="1:27" s="99" customFormat="1">
      <c r="A407" s="67"/>
      <c r="B407" s="67"/>
      <c r="C407" s="66"/>
      <c r="D407" s="553"/>
      <c r="E407" s="66"/>
      <c r="F407" s="558"/>
      <c r="G407" s="684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</row>
    <row r="408" spans="1:27" s="99" customFormat="1">
      <c r="A408" s="67"/>
      <c r="B408" s="67"/>
      <c r="C408" s="66"/>
      <c r="D408" s="553"/>
      <c r="E408" s="66"/>
      <c r="F408" s="558"/>
      <c r="G408" s="684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</row>
    <row r="409" spans="1:27" s="99" customFormat="1">
      <c r="A409" s="67"/>
      <c r="B409" s="67"/>
      <c r="C409" s="66"/>
      <c r="D409" s="553"/>
      <c r="E409" s="66"/>
      <c r="F409" s="558"/>
      <c r="G409" s="684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</row>
    <row r="410" spans="1:27" s="99" customFormat="1">
      <c r="A410" s="67"/>
      <c r="B410" s="67"/>
      <c r="C410" s="66"/>
      <c r="D410" s="553"/>
      <c r="E410" s="66"/>
      <c r="F410" s="558"/>
      <c r="G410" s="684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</row>
    <row r="411" spans="1:27" s="99" customFormat="1">
      <c r="A411" s="67"/>
      <c r="B411" s="67"/>
      <c r="C411" s="66"/>
      <c r="D411" s="553"/>
      <c r="E411" s="66"/>
      <c r="F411" s="558"/>
      <c r="G411" s="684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</row>
    <row r="412" spans="1:27" s="99" customFormat="1">
      <c r="A412" s="67"/>
      <c r="B412" s="67"/>
      <c r="C412" s="66"/>
      <c r="D412" s="553"/>
      <c r="E412" s="66"/>
      <c r="F412" s="558"/>
      <c r="G412" s="684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</row>
    <row r="413" spans="1:27" s="99" customFormat="1">
      <c r="A413" s="67"/>
      <c r="B413" s="67"/>
      <c r="C413" s="66"/>
      <c r="D413" s="553"/>
      <c r="E413" s="66"/>
      <c r="F413" s="558"/>
      <c r="G413" s="684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</row>
    <row r="414" spans="1:27" s="99" customFormat="1">
      <c r="A414" s="67"/>
      <c r="B414" s="67"/>
      <c r="C414" s="66"/>
      <c r="D414" s="553"/>
      <c r="E414" s="66"/>
      <c r="F414" s="558"/>
      <c r="G414" s="684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</row>
    <row r="415" spans="1:27" s="99" customFormat="1">
      <c r="A415" s="67"/>
      <c r="B415" s="67"/>
      <c r="C415" s="66"/>
      <c r="D415" s="553"/>
      <c r="E415" s="66"/>
      <c r="F415" s="558"/>
      <c r="G415" s="684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</row>
    <row r="416" spans="1:27" s="99" customFormat="1">
      <c r="A416" s="67"/>
      <c r="B416" s="67"/>
      <c r="C416" s="66"/>
      <c r="D416" s="553"/>
      <c r="E416" s="66"/>
      <c r="F416" s="558"/>
      <c r="G416" s="684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</row>
    <row r="417" spans="1:27" s="99" customFormat="1">
      <c r="A417" s="67"/>
      <c r="B417" s="67"/>
      <c r="C417" s="66"/>
      <c r="D417" s="553"/>
      <c r="E417" s="66"/>
      <c r="F417" s="558"/>
      <c r="G417" s="684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</row>
    <row r="418" spans="1:27" s="99" customFormat="1">
      <c r="A418" s="67"/>
      <c r="B418" s="67"/>
      <c r="C418" s="66"/>
      <c r="D418" s="553"/>
      <c r="E418" s="66"/>
      <c r="F418" s="558"/>
      <c r="G418" s="684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</row>
    <row r="419" spans="1:27" s="99" customFormat="1">
      <c r="A419" s="67"/>
      <c r="B419" s="67"/>
      <c r="C419" s="66"/>
      <c r="D419" s="553"/>
      <c r="E419" s="66"/>
      <c r="F419" s="558"/>
      <c r="G419" s="684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</row>
    <row r="420" spans="1:27" s="99" customFormat="1">
      <c r="A420" s="67"/>
      <c r="B420" s="67"/>
      <c r="C420" s="66"/>
      <c r="D420" s="553"/>
      <c r="E420" s="66"/>
      <c r="F420" s="558"/>
      <c r="G420" s="684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</row>
    <row r="421" spans="1:27" s="99" customFormat="1">
      <c r="A421" s="67"/>
      <c r="B421" s="67"/>
      <c r="C421" s="66"/>
      <c r="D421" s="553"/>
      <c r="E421" s="66"/>
      <c r="F421" s="558"/>
      <c r="G421" s="684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</row>
    <row r="422" spans="1:27" s="99" customFormat="1">
      <c r="A422" s="67"/>
      <c r="B422" s="67"/>
      <c r="C422" s="66"/>
      <c r="D422" s="553"/>
      <c r="E422" s="66"/>
      <c r="F422" s="558"/>
      <c r="G422" s="684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</row>
    <row r="423" spans="1:27" s="99" customFormat="1">
      <c r="A423" s="67"/>
      <c r="B423" s="67"/>
      <c r="C423" s="66"/>
      <c r="D423" s="553"/>
      <c r="E423" s="66"/>
      <c r="F423" s="558"/>
      <c r="G423" s="684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</row>
    <row r="424" spans="1:27" s="99" customFormat="1">
      <c r="A424" s="67"/>
      <c r="B424" s="67"/>
      <c r="C424" s="66"/>
      <c r="D424" s="553"/>
      <c r="E424" s="66"/>
      <c r="F424" s="558"/>
      <c r="G424" s="684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</row>
    <row r="425" spans="1:27" s="99" customFormat="1">
      <c r="A425" s="67"/>
      <c r="B425" s="67"/>
      <c r="C425" s="66"/>
      <c r="D425" s="553"/>
      <c r="E425" s="66"/>
      <c r="F425" s="558"/>
      <c r="G425" s="684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</row>
    <row r="426" spans="1:27" s="99" customFormat="1">
      <c r="A426" s="67"/>
      <c r="B426" s="67"/>
      <c r="C426" s="66"/>
      <c r="D426" s="553"/>
      <c r="E426" s="66"/>
      <c r="F426" s="558"/>
      <c r="G426" s="684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</row>
    <row r="427" spans="1:27" s="99" customFormat="1">
      <c r="A427" s="67"/>
      <c r="B427" s="67"/>
      <c r="C427" s="66"/>
      <c r="D427" s="553"/>
      <c r="E427" s="66"/>
      <c r="F427" s="558"/>
      <c r="G427" s="684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</row>
    <row r="428" spans="1:27" s="99" customFormat="1">
      <c r="A428" s="67"/>
      <c r="B428" s="67"/>
      <c r="C428" s="66"/>
      <c r="D428" s="553"/>
      <c r="E428" s="66"/>
      <c r="F428" s="558"/>
      <c r="G428" s="684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</row>
    <row r="429" spans="1:27" s="99" customFormat="1">
      <c r="A429" s="67"/>
      <c r="B429" s="67"/>
      <c r="C429" s="66"/>
      <c r="D429" s="553"/>
      <c r="E429" s="66"/>
      <c r="F429" s="558"/>
      <c r="G429" s="684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</row>
    <row r="430" spans="1:27" s="99" customFormat="1">
      <c r="A430" s="67"/>
      <c r="B430" s="67"/>
      <c r="C430" s="66"/>
      <c r="D430" s="553"/>
      <c r="E430" s="66"/>
      <c r="F430" s="558"/>
      <c r="G430" s="684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</row>
    <row r="431" spans="1:27" s="99" customFormat="1">
      <c r="A431" s="67"/>
      <c r="B431" s="67"/>
      <c r="C431" s="66"/>
      <c r="D431" s="553"/>
      <c r="E431" s="66"/>
      <c r="F431" s="558"/>
      <c r="G431" s="684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</row>
    <row r="432" spans="1:27" s="99" customFormat="1">
      <c r="A432" s="67"/>
      <c r="B432" s="67"/>
      <c r="C432" s="66"/>
      <c r="D432" s="553"/>
      <c r="E432" s="66"/>
      <c r="F432" s="558"/>
      <c r="G432" s="684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</row>
    <row r="433" spans="1:27" s="99" customFormat="1">
      <c r="A433" s="67"/>
      <c r="B433" s="67"/>
      <c r="C433" s="66"/>
      <c r="D433" s="553"/>
      <c r="E433" s="66"/>
      <c r="F433" s="558"/>
      <c r="G433" s="684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</row>
    <row r="434" spans="1:27" s="99" customFormat="1">
      <c r="A434" s="67"/>
      <c r="B434" s="67"/>
      <c r="C434" s="66"/>
      <c r="D434" s="553"/>
      <c r="E434" s="66"/>
      <c r="F434" s="558"/>
      <c r="G434" s="684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</row>
    <row r="435" spans="1:27" s="99" customFormat="1">
      <c r="A435" s="67"/>
      <c r="B435" s="67"/>
      <c r="C435" s="66"/>
      <c r="D435" s="553"/>
      <c r="E435" s="66"/>
      <c r="F435" s="558"/>
      <c r="G435" s="684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</row>
    <row r="436" spans="1:27" s="99" customFormat="1">
      <c r="A436" s="67"/>
      <c r="B436" s="67"/>
      <c r="C436" s="66"/>
      <c r="D436" s="553"/>
      <c r="E436" s="66"/>
      <c r="F436" s="558"/>
      <c r="G436" s="684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</row>
    <row r="437" spans="1:27" s="99" customFormat="1">
      <c r="A437" s="67"/>
      <c r="B437" s="67"/>
      <c r="C437" s="66"/>
      <c r="D437" s="553"/>
      <c r="E437" s="66"/>
      <c r="F437" s="558"/>
      <c r="G437" s="684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</row>
    <row r="438" spans="1:27" s="99" customFormat="1">
      <c r="A438" s="67"/>
      <c r="B438" s="67"/>
      <c r="C438" s="66"/>
      <c r="D438" s="553"/>
      <c r="E438" s="66"/>
      <c r="F438" s="558"/>
      <c r="G438" s="684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</row>
    <row r="439" spans="1:27" s="99" customFormat="1">
      <c r="A439" s="67"/>
      <c r="B439" s="67"/>
      <c r="C439" s="66"/>
      <c r="D439" s="553"/>
      <c r="E439" s="66"/>
      <c r="F439" s="558"/>
      <c r="G439" s="684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</row>
    <row r="440" spans="1:27" s="99" customFormat="1">
      <c r="A440" s="67"/>
      <c r="B440" s="67"/>
      <c r="C440" s="66"/>
      <c r="D440" s="553"/>
      <c r="E440" s="66"/>
      <c r="F440" s="558"/>
      <c r="G440" s="684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</row>
    <row r="441" spans="1:27" s="99" customFormat="1">
      <c r="A441" s="67"/>
      <c r="B441" s="67"/>
      <c r="C441" s="66"/>
      <c r="D441" s="553"/>
      <c r="E441" s="66"/>
      <c r="F441" s="558"/>
      <c r="G441" s="684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</row>
    <row r="442" spans="1:27" s="99" customFormat="1">
      <c r="A442" s="67"/>
      <c r="B442" s="67"/>
      <c r="C442" s="66"/>
      <c r="D442" s="553"/>
      <c r="E442" s="66"/>
      <c r="F442" s="558"/>
      <c r="G442" s="684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</row>
    <row r="443" spans="1:27" s="99" customFormat="1">
      <c r="A443" s="67"/>
      <c r="B443" s="67"/>
      <c r="C443" s="66"/>
      <c r="D443" s="553"/>
      <c r="E443" s="66"/>
      <c r="F443" s="558"/>
      <c r="G443" s="684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</row>
    <row r="444" spans="1:27" s="99" customFormat="1">
      <c r="A444" s="67"/>
      <c r="B444" s="67"/>
      <c r="C444" s="66"/>
      <c r="D444" s="553"/>
      <c r="E444" s="66"/>
      <c r="F444" s="558"/>
      <c r="G444" s="684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</row>
    <row r="445" spans="1:27" s="99" customFormat="1">
      <c r="A445" s="67"/>
      <c r="B445" s="67"/>
      <c r="C445" s="66"/>
      <c r="D445" s="553"/>
      <c r="E445" s="66"/>
      <c r="F445" s="558"/>
      <c r="G445" s="684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</row>
    <row r="446" spans="1:27" s="99" customFormat="1">
      <c r="A446" s="67"/>
      <c r="B446" s="67"/>
      <c r="C446" s="66"/>
      <c r="D446" s="553"/>
      <c r="E446" s="66"/>
      <c r="F446" s="558"/>
      <c r="G446" s="684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</row>
    <row r="447" spans="1:27" s="99" customFormat="1">
      <c r="A447" s="67"/>
      <c r="B447" s="67"/>
      <c r="C447" s="66"/>
      <c r="D447" s="553"/>
      <c r="E447" s="66"/>
      <c r="F447" s="558"/>
      <c r="G447" s="684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</row>
  </sheetData>
  <printOptions horizontalCentered="1"/>
  <pageMargins left="0.59055118110236227" right="0.59055118110236227" top="0.59055118110236227" bottom="0.59055118110236227" header="0" footer="0"/>
  <pageSetup paperSize="9" scale="5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5"/>
  <sheetViews>
    <sheetView zoomScaleNormal="100" workbookViewId="0">
      <pane ySplit="2" topLeftCell="A231" activePane="bottomLeft" state="frozen"/>
      <selection activeCell="K101" sqref="K101"/>
      <selection pane="bottomLeft" activeCell="L288" sqref="L288"/>
    </sheetView>
  </sheetViews>
  <sheetFormatPr defaultColWidth="8.85546875" defaultRowHeight="12.75"/>
  <cols>
    <col min="1" max="4" width="4" style="487" bestFit="1" customWidth="1"/>
    <col min="5" max="5" width="3" style="487" bestFit="1" customWidth="1"/>
    <col min="6" max="6" width="3.28515625" style="487" customWidth="1"/>
    <col min="7" max="7" width="70.42578125" style="487" customWidth="1"/>
    <col min="8" max="8" width="17.7109375" style="551" customWidth="1"/>
    <col min="9" max="10" width="15.28515625" style="552" customWidth="1"/>
    <col min="11" max="11" width="3.140625" style="487" customWidth="1"/>
    <col min="12" max="16384" width="8.85546875" style="487"/>
  </cols>
  <sheetData>
    <row r="1" spans="1:14" ht="21" customHeight="1" thickBot="1">
      <c r="A1" s="976" t="s">
        <v>120</v>
      </c>
      <c r="B1" s="977"/>
      <c r="C1" s="977"/>
      <c r="D1" s="977"/>
      <c r="E1" s="977"/>
      <c r="F1" s="978"/>
      <c r="G1" s="979" t="s">
        <v>3932</v>
      </c>
      <c r="H1" s="981" t="s">
        <v>3460</v>
      </c>
      <c r="I1" s="983" t="s">
        <v>3458</v>
      </c>
      <c r="J1" s="983" t="s">
        <v>3457</v>
      </c>
    </row>
    <row r="2" spans="1:14" s="40" customFormat="1" ht="27.6" customHeight="1" thickBot="1">
      <c r="A2" s="216" t="s">
        <v>123</v>
      </c>
      <c r="B2" s="216" t="s">
        <v>124</v>
      </c>
      <c r="C2" s="216" t="s">
        <v>125</v>
      </c>
      <c r="D2" s="216" t="s">
        <v>126</v>
      </c>
      <c r="E2" s="216" t="s">
        <v>127</v>
      </c>
      <c r="F2" s="216" t="s">
        <v>128</v>
      </c>
      <c r="G2" s="980"/>
      <c r="H2" s="982"/>
      <c r="I2" s="984"/>
      <c r="J2" s="984"/>
    </row>
    <row r="3" spans="1:14" s="409" customFormat="1">
      <c r="A3" s="488">
        <v>10</v>
      </c>
      <c r="B3" s="489">
        <v>0</v>
      </c>
      <c r="C3" s="489">
        <v>0</v>
      </c>
      <c r="D3" s="489">
        <v>0</v>
      </c>
      <c r="E3" s="489">
        <v>0</v>
      </c>
      <c r="F3" s="490">
        <v>0</v>
      </c>
      <c r="G3" s="491" t="s">
        <v>3933</v>
      </c>
      <c r="H3" s="492"/>
      <c r="I3" s="493"/>
      <c r="J3" s="493"/>
      <c r="N3" s="686"/>
    </row>
    <row r="4" spans="1:14" s="40" customFormat="1">
      <c r="A4" s="494">
        <v>10</v>
      </c>
      <c r="B4" s="495">
        <v>100</v>
      </c>
      <c r="C4" s="495"/>
      <c r="D4" s="495"/>
      <c r="E4" s="495"/>
      <c r="F4" s="496"/>
      <c r="G4" s="497" t="s">
        <v>3934</v>
      </c>
      <c r="H4" s="420" t="s">
        <v>3935</v>
      </c>
      <c r="I4" s="498"/>
      <c r="J4" s="498"/>
    </row>
    <row r="5" spans="1:14" s="40" customFormat="1">
      <c r="A5" s="494">
        <v>10</v>
      </c>
      <c r="B5" s="495">
        <v>200</v>
      </c>
      <c r="C5" s="495"/>
      <c r="D5" s="495"/>
      <c r="E5" s="495"/>
      <c r="F5" s="496"/>
      <c r="G5" s="497" t="s">
        <v>3936</v>
      </c>
      <c r="H5" s="420" t="s">
        <v>3937</v>
      </c>
      <c r="I5" s="498"/>
      <c r="J5" s="498"/>
    </row>
    <row r="6" spans="1:14" s="40" customFormat="1">
      <c r="A6" s="494">
        <v>10</v>
      </c>
      <c r="B6" s="499">
        <v>300</v>
      </c>
      <c r="C6" s="499"/>
      <c r="D6" s="499"/>
      <c r="E6" s="499"/>
      <c r="F6" s="500"/>
      <c r="G6" s="501" t="s">
        <v>3938</v>
      </c>
      <c r="H6" s="420"/>
      <c r="I6" s="502"/>
      <c r="J6" s="502"/>
    </row>
    <row r="7" spans="1:14" s="40" customFormat="1" ht="25.5">
      <c r="A7" s="494">
        <v>10</v>
      </c>
      <c r="B7" s="499">
        <v>300</v>
      </c>
      <c r="C7" s="495">
        <v>100</v>
      </c>
      <c r="D7" s="495"/>
      <c r="E7" s="495"/>
      <c r="F7" s="496"/>
      <c r="G7" s="497" t="s">
        <v>3939</v>
      </c>
      <c r="H7" s="420" t="s">
        <v>3940</v>
      </c>
      <c r="I7" s="498"/>
      <c r="J7" s="498"/>
    </row>
    <row r="8" spans="1:14" s="40" customFormat="1">
      <c r="A8" s="494">
        <v>10</v>
      </c>
      <c r="B8" s="499">
        <v>300</v>
      </c>
      <c r="C8" s="495">
        <v>200</v>
      </c>
      <c r="D8" s="495"/>
      <c r="E8" s="495"/>
      <c r="F8" s="496"/>
      <c r="G8" s="497" t="s">
        <v>3941</v>
      </c>
      <c r="H8" s="420" t="s">
        <v>3942</v>
      </c>
      <c r="I8" s="498"/>
      <c r="J8" s="498"/>
    </row>
    <row r="9" spans="1:14" s="40" customFormat="1">
      <c r="A9" s="494">
        <v>10</v>
      </c>
      <c r="B9" s="495">
        <v>400</v>
      </c>
      <c r="C9" s="495"/>
      <c r="D9" s="495"/>
      <c r="E9" s="495"/>
      <c r="F9" s="496"/>
      <c r="G9" s="497" t="s">
        <v>3943</v>
      </c>
      <c r="H9" s="420" t="s">
        <v>3944</v>
      </c>
      <c r="I9" s="498"/>
      <c r="J9" s="498"/>
    </row>
    <row r="10" spans="1:14" s="40" customFormat="1">
      <c r="A10" s="494">
        <v>10</v>
      </c>
      <c r="B10" s="499">
        <v>500</v>
      </c>
      <c r="C10" s="499"/>
      <c r="D10" s="499"/>
      <c r="E10" s="499"/>
      <c r="F10" s="500"/>
      <c r="G10" s="501" t="s">
        <v>3945</v>
      </c>
      <c r="H10" s="420"/>
      <c r="I10" s="502"/>
      <c r="J10" s="502"/>
    </row>
    <row r="11" spans="1:14" s="40" customFormat="1">
      <c r="A11" s="494">
        <v>10</v>
      </c>
      <c r="B11" s="499">
        <v>500</v>
      </c>
      <c r="C11" s="495">
        <v>100</v>
      </c>
      <c r="D11" s="495"/>
      <c r="E11" s="495"/>
      <c r="F11" s="496"/>
      <c r="G11" s="497" t="s">
        <v>3946</v>
      </c>
      <c r="H11" s="420" t="s">
        <v>3947</v>
      </c>
      <c r="I11" s="386">
        <v>301098</v>
      </c>
      <c r="J11" s="386">
        <v>301098</v>
      </c>
    </row>
    <row r="12" spans="1:14" s="40" customFormat="1">
      <c r="A12" s="494">
        <v>10</v>
      </c>
      <c r="B12" s="499">
        <v>500</v>
      </c>
      <c r="C12" s="495">
        <v>200</v>
      </c>
      <c r="D12" s="495"/>
      <c r="E12" s="495"/>
      <c r="F12" s="496"/>
      <c r="G12" s="497" t="s">
        <v>3948</v>
      </c>
      <c r="H12" s="420" t="s">
        <v>3949</v>
      </c>
      <c r="I12" s="386">
        <v>39838</v>
      </c>
      <c r="J12" s="386">
        <v>39838</v>
      </c>
    </row>
    <row r="13" spans="1:14" s="40" customFormat="1">
      <c r="A13" s="494">
        <v>10</v>
      </c>
      <c r="B13" s="499">
        <v>500</v>
      </c>
      <c r="C13" s="495">
        <v>300</v>
      </c>
      <c r="D13" s="495"/>
      <c r="E13" s="495"/>
      <c r="F13" s="496"/>
      <c r="G13" s="497" t="s">
        <v>3950</v>
      </c>
      <c r="H13" s="420" t="s">
        <v>3951</v>
      </c>
      <c r="I13" s="498"/>
      <c r="J13" s="498"/>
    </row>
    <row r="14" spans="1:14" s="40" customFormat="1">
      <c r="A14" s="494">
        <v>10</v>
      </c>
      <c r="B14" s="499">
        <v>500</v>
      </c>
      <c r="C14" s="495">
        <v>400</v>
      </c>
      <c r="D14" s="495"/>
      <c r="E14" s="495"/>
      <c r="F14" s="496"/>
      <c r="G14" s="497" t="s">
        <v>3945</v>
      </c>
      <c r="H14" s="420" t="s">
        <v>3952</v>
      </c>
      <c r="I14" s="498"/>
      <c r="J14" s="498"/>
    </row>
    <row r="15" spans="1:14" s="409" customFormat="1">
      <c r="A15" s="503">
        <v>20</v>
      </c>
      <c r="B15" s="504">
        <v>0</v>
      </c>
      <c r="C15" s="504">
        <v>0</v>
      </c>
      <c r="D15" s="504">
        <v>0</v>
      </c>
      <c r="E15" s="504">
        <v>0</v>
      </c>
      <c r="F15" s="505">
        <v>0</v>
      </c>
      <c r="G15" s="506" t="s">
        <v>3953</v>
      </c>
      <c r="H15" s="507"/>
      <c r="I15" s="508"/>
      <c r="J15" s="508"/>
    </row>
    <row r="16" spans="1:14" s="40" customFormat="1">
      <c r="A16" s="494">
        <v>20</v>
      </c>
      <c r="B16" s="509">
        <v>100</v>
      </c>
      <c r="C16" s="509"/>
      <c r="D16" s="509"/>
      <c r="E16" s="509"/>
      <c r="F16" s="510"/>
      <c r="G16" s="501" t="s">
        <v>3954</v>
      </c>
      <c r="H16" s="420"/>
      <c r="I16" s="502"/>
      <c r="J16" s="502"/>
    </row>
    <row r="17" spans="1:12" s="40" customFormat="1">
      <c r="A17" s="494">
        <v>20</v>
      </c>
      <c r="B17" s="509">
        <v>100</v>
      </c>
      <c r="C17" s="511">
        <v>100</v>
      </c>
      <c r="D17" s="511"/>
      <c r="E17" s="511"/>
      <c r="F17" s="512"/>
      <c r="G17" s="497" t="s">
        <v>3955</v>
      </c>
      <c r="H17" s="420" t="s">
        <v>3956</v>
      </c>
      <c r="I17" s="498"/>
      <c r="J17" s="498"/>
    </row>
    <row r="18" spans="1:12" s="40" customFormat="1">
      <c r="A18" s="494">
        <v>20</v>
      </c>
      <c r="B18" s="509">
        <v>100</v>
      </c>
      <c r="C18" s="511">
        <v>200</v>
      </c>
      <c r="D18" s="511"/>
      <c r="E18" s="511"/>
      <c r="F18" s="512"/>
      <c r="G18" s="497" t="s">
        <v>3957</v>
      </c>
      <c r="H18" s="420" t="s">
        <v>3958</v>
      </c>
      <c r="I18" s="498"/>
      <c r="J18" s="498"/>
    </row>
    <row r="19" spans="1:12" s="40" customFormat="1">
      <c r="A19" s="494">
        <v>20</v>
      </c>
      <c r="B19" s="509">
        <v>200</v>
      </c>
      <c r="C19" s="509"/>
      <c r="D19" s="509"/>
      <c r="E19" s="509"/>
      <c r="F19" s="510"/>
      <c r="G19" s="501" t="s">
        <v>3959</v>
      </c>
      <c r="H19" s="420"/>
      <c r="I19" s="502"/>
      <c r="J19" s="502"/>
    </row>
    <row r="20" spans="1:12" s="40" customFormat="1">
      <c r="A20" s="494">
        <v>20</v>
      </c>
      <c r="B20" s="509">
        <v>200</v>
      </c>
      <c r="C20" s="511">
        <v>100</v>
      </c>
      <c r="D20" s="511"/>
      <c r="E20" s="511"/>
      <c r="F20" s="512"/>
      <c r="G20" s="497" t="s">
        <v>3960</v>
      </c>
      <c r="H20" s="420" t="s">
        <v>3961</v>
      </c>
      <c r="I20" s="498">
        <v>646905</v>
      </c>
      <c r="J20" s="498">
        <v>1595783</v>
      </c>
    </row>
    <row r="21" spans="1:12" s="40" customFormat="1">
      <c r="A21" s="494">
        <v>20</v>
      </c>
      <c r="B21" s="509">
        <v>200</v>
      </c>
      <c r="C21" s="511">
        <v>200</v>
      </c>
      <c r="D21" s="511"/>
      <c r="E21" s="511"/>
      <c r="F21" s="512"/>
      <c r="G21" s="497" t="s">
        <v>3962</v>
      </c>
      <c r="H21" s="420" t="s">
        <v>3963</v>
      </c>
      <c r="I21" s="498">
        <v>34063819</v>
      </c>
      <c r="J21" s="498">
        <v>32581528</v>
      </c>
    </row>
    <row r="22" spans="1:12" s="40" customFormat="1">
      <c r="A22" s="494">
        <v>20</v>
      </c>
      <c r="B22" s="495">
        <v>300</v>
      </c>
      <c r="C22" s="511"/>
      <c r="D22" s="511"/>
      <c r="E22" s="511"/>
      <c r="F22" s="512"/>
      <c r="G22" s="497" t="s">
        <v>3964</v>
      </c>
      <c r="H22" s="420" t="s">
        <v>3965</v>
      </c>
      <c r="I22" s="498">
        <v>3142568</v>
      </c>
      <c r="J22" s="498">
        <v>3142568</v>
      </c>
    </row>
    <row r="23" spans="1:12" s="40" customFormat="1">
      <c r="A23" s="494">
        <v>20</v>
      </c>
      <c r="B23" s="495">
        <v>400</v>
      </c>
      <c r="C23" s="511"/>
      <c r="D23" s="511"/>
      <c r="E23" s="511"/>
      <c r="F23" s="512"/>
      <c r="G23" s="497" t="s">
        <v>3966</v>
      </c>
      <c r="H23" s="420" t="s">
        <v>3967</v>
      </c>
      <c r="I23" s="498">
        <v>31942436</v>
      </c>
      <c r="J23" s="498">
        <v>29781536</v>
      </c>
    </row>
    <row r="24" spans="1:12" s="40" customFormat="1">
      <c r="A24" s="494">
        <v>20</v>
      </c>
      <c r="B24" s="495">
        <v>500</v>
      </c>
      <c r="C24" s="495"/>
      <c r="D24" s="495"/>
      <c r="E24" s="495"/>
      <c r="F24" s="496"/>
      <c r="G24" s="497" t="s">
        <v>3968</v>
      </c>
      <c r="H24" s="420" t="s">
        <v>3969</v>
      </c>
      <c r="I24" s="498">
        <v>2610680</v>
      </c>
      <c r="J24" s="498">
        <v>2347145</v>
      </c>
    </row>
    <row r="25" spans="1:12" s="40" customFormat="1">
      <c r="A25" s="494">
        <v>20</v>
      </c>
      <c r="B25" s="495">
        <v>600</v>
      </c>
      <c r="C25" s="495"/>
      <c r="D25" s="495"/>
      <c r="E25" s="495"/>
      <c r="F25" s="496"/>
      <c r="G25" s="497" t="s">
        <v>3970</v>
      </c>
      <c r="H25" s="420" t="s">
        <v>3971</v>
      </c>
      <c r="I25" s="498">
        <v>134088</v>
      </c>
      <c r="J25" s="498">
        <v>159692</v>
      </c>
    </row>
    <row r="26" spans="1:12" s="40" customFormat="1">
      <c r="A26" s="494">
        <v>20</v>
      </c>
      <c r="B26" s="495">
        <v>700</v>
      </c>
      <c r="C26" s="495"/>
      <c r="D26" s="495"/>
      <c r="E26" s="495"/>
      <c r="F26" s="496"/>
      <c r="G26" s="497" t="s">
        <v>3972</v>
      </c>
      <c r="H26" s="420" t="s">
        <v>3973</v>
      </c>
      <c r="I26" s="498"/>
      <c r="J26" s="498"/>
    </row>
    <row r="27" spans="1:12" s="40" customFormat="1">
      <c r="A27" s="494">
        <v>20</v>
      </c>
      <c r="B27" s="495">
        <v>800</v>
      </c>
      <c r="C27" s="499"/>
      <c r="D27" s="499"/>
      <c r="E27" s="499"/>
      <c r="F27" s="500"/>
      <c r="G27" s="497" t="s">
        <v>3974</v>
      </c>
      <c r="H27" s="420" t="s">
        <v>3975</v>
      </c>
      <c r="I27" s="498">
        <v>5675333</v>
      </c>
      <c r="J27" s="498">
        <v>5586460</v>
      </c>
    </row>
    <row r="28" spans="1:12" s="40" customFormat="1">
      <c r="A28" s="513">
        <v>20</v>
      </c>
      <c r="B28" s="509">
        <v>900</v>
      </c>
      <c r="C28" s="511"/>
      <c r="D28" s="511"/>
      <c r="E28" s="511"/>
      <c r="F28" s="512"/>
      <c r="G28" s="514" t="s">
        <v>3976</v>
      </c>
      <c r="H28" s="431" t="s">
        <v>3977</v>
      </c>
      <c r="I28" s="498">
        <v>5548834</v>
      </c>
      <c r="J28" s="498">
        <v>4777870</v>
      </c>
    </row>
    <row r="29" spans="1:12" s="409" customFormat="1">
      <c r="A29" s="515">
        <v>30</v>
      </c>
      <c r="B29" s="516">
        <v>0</v>
      </c>
      <c r="C29" s="516">
        <v>0</v>
      </c>
      <c r="D29" s="516">
        <v>0</v>
      </c>
      <c r="E29" s="516">
        <v>0</v>
      </c>
      <c r="F29" s="517">
        <v>0</v>
      </c>
      <c r="G29" s="518" t="s">
        <v>3978</v>
      </c>
      <c r="H29" s="436"/>
      <c r="I29" s="519"/>
      <c r="J29" s="519"/>
    </row>
    <row r="30" spans="1:12" s="40" customFormat="1">
      <c r="A30" s="494">
        <v>30</v>
      </c>
      <c r="B30" s="499">
        <v>100</v>
      </c>
      <c r="C30" s="499"/>
      <c r="D30" s="499"/>
      <c r="E30" s="499"/>
      <c r="F30" s="500"/>
      <c r="G30" s="501" t="s">
        <v>3979</v>
      </c>
      <c r="H30" s="420"/>
      <c r="I30" s="502"/>
      <c r="J30" s="502"/>
      <c r="L30" s="685"/>
    </row>
    <row r="31" spans="1:12" s="40" customFormat="1">
      <c r="A31" s="494">
        <v>30</v>
      </c>
      <c r="B31" s="499">
        <v>100</v>
      </c>
      <c r="C31" s="495">
        <v>100</v>
      </c>
      <c r="D31" s="495"/>
      <c r="E31" s="495"/>
      <c r="F31" s="496"/>
      <c r="G31" s="497" t="s">
        <v>3980</v>
      </c>
      <c r="H31" s="420" t="s">
        <v>3571</v>
      </c>
      <c r="I31" s="498"/>
      <c r="J31" s="498"/>
    </row>
    <row r="32" spans="1:12" s="40" customFormat="1">
      <c r="A32" s="494">
        <v>30</v>
      </c>
      <c r="B32" s="499">
        <v>100</v>
      </c>
      <c r="C32" s="495">
        <v>200</v>
      </c>
      <c r="D32" s="495"/>
      <c r="E32" s="495"/>
      <c r="F32" s="496"/>
      <c r="G32" s="497" t="s">
        <v>3981</v>
      </c>
      <c r="H32" s="420" t="s">
        <v>3573</v>
      </c>
      <c r="I32" s="498"/>
      <c r="J32" s="498"/>
    </row>
    <row r="33" spans="1:10" s="40" customFormat="1">
      <c r="A33" s="494">
        <v>30</v>
      </c>
      <c r="B33" s="499">
        <v>100</v>
      </c>
      <c r="C33" s="495">
        <v>300</v>
      </c>
      <c r="D33" s="495"/>
      <c r="E33" s="495"/>
      <c r="F33" s="496"/>
      <c r="G33" s="497" t="s">
        <v>3982</v>
      </c>
      <c r="H33" s="420" t="s">
        <v>3575</v>
      </c>
      <c r="I33" s="498"/>
      <c r="J33" s="498"/>
    </row>
    <row r="34" spans="1:10" s="40" customFormat="1">
      <c r="A34" s="494">
        <v>30</v>
      </c>
      <c r="B34" s="499">
        <v>100</v>
      </c>
      <c r="C34" s="499">
        <v>400</v>
      </c>
      <c r="D34" s="499"/>
      <c r="E34" s="499"/>
      <c r="F34" s="500"/>
      <c r="G34" s="501" t="s">
        <v>3983</v>
      </c>
      <c r="H34" s="420" t="s">
        <v>3577</v>
      </c>
      <c r="I34" s="502"/>
      <c r="J34" s="502"/>
    </row>
    <row r="35" spans="1:10" s="40" customFormat="1">
      <c r="A35" s="494">
        <v>30</v>
      </c>
      <c r="B35" s="499">
        <v>100</v>
      </c>
      <c r="C35" s="499">
        <v>400</v>
      </c>
      <c r="D35" s="495">
        <v>100</v>
      </c>
      <c r="E35" s="495"/>
      <c r="F35" s="496"/>
      <c r="G35" s="520" t="s">
        <v>3984</v>
      </c>
      <c r="H35" s="420"/>
      <c r="I35" s="498"/>
      <c r="J35" s="498"/>
    </row>
    <row r="36" spans="1:10" s="40" customFormat="1">
      <c r="A36" s="494">
        <v>30</v>
      </c>
      <c r="B36" s="499">
        <v>100</v>
      </c>
      <c r="C36" s="499">
        <v>400</v>
      </c>
      <c r="D36" s="495">
        <v>200</v>
      </c>
      <c r="E36" s="495"/>
      <c r="F36" s="496"/>
      <c r="G36" s="520" t="s">
        <v>3985</v>
      </c>
      <c r="H36" s="420"/>
      <c r="I36" s="498"/>
      <c r="J36" s="498"/>
    </row>
    <row r="37" spans="1:10" s="40" customFormat="1">
      <c r="A37" s="494">
        <v>30</v>
      </c>
      <c r="B37" s="499">
        <v>100</v>
      </c>
      <c r="C37" s="499">
        <v>400</v>
      </c>
      <c r="D37" s="495">
        <v>300</v>
      </c>
      <c r="E37" s="495"/>
      <c r="F37" s="496"/>
      <c r="G37" s="520" t="s">
        <v>3986</v>
      </c>
      <c r="H37" s="420"/>
      <c r="I37" s="498">
        <v>177095</v>
      </c>
      <c r="J37" s="498">
        <v>177095</v>
      </c>
    </row>
    <row r="38" spans="1:10" s="40" customFormat="1">
      <c r="A38" s="494">
        <v>30</v>
      </c>
      <c r="B38" s="499">
        <v>200</v>
      </c>
      <c r="C38" s="499"/>
      <c r="D38" s="499"/>
      <c r="E38" s="499"/>
      <c r="F38" s="500"/>
      <c r="G38" s="501" t="s">
        <v>3987</v>
      </c>
      <c r="H38" s="420"/>
      <c r="I38" s="502"/>
      <c r="J38" s="502"/>
    </row>
    <row r="39" spans="1:10" s="40" customFormat="1">
      <c r="A39" s="494">
        <v>30</v>
      </c>
      <c r="B39" s="499">
        <v>200</v>
      </c>
      <c r="C39" s="495">
        <v>100</v>
      </c>
      <c r="D39" s="495"/>
      <c r="E39" s="495"/>
      <c r="F39" s="496"/>
      <c r="G39" s="497" t="s">
        <v>3988</v>
      </c>
      <c r="H39" s="420" t="s">
        <v>3989</v>
      </c>
      <c r="I39" s="498">
        <v>5000</v>
      </c>
      <c r="J39" s="498">
        <v>8000</v>
      </c>
    </row>
    <row r="40" spans="1:10" s="40" customFormat="1">
      <c r="A40" s="494">
        <v>30</v>
      </c>
      <c r="B40" s="499">
        <v>200</v>
      </c>
      <c r="C40" s="499">
        <v>200</v>
      </c>
      <c r="D40" s="499"/>
      <c r="E40" s="499"/>
      <c r="F40" s="500"/>
      <c r="G40" s="501" t="s">
        <v>3990</v>
      </c>
      <c r="H40" s="420"/>
      <c r="I40" s="502"/>
      <c r="J40" s="502"/>
    </row>
    <row r="41" spans="1:10" s="40" customFormat="1">
      <c r="A41" s="494">
        <v>30</v>
      </c>
      <c r="B41" s="499">
        <v>200</v>
      </c>
      <c r="C41" s="499">
        <v>200</v>
      </c>
      <c r="D41" s="495">
        <v>100</v>
      </c>
      <c r="E41" s="495"/>
      <c r="F41" s="496"/>
      <c r="G41" s="497" t="s">
        <v>3991</v>
      </c>
      <c r="H41" s="420" t="s">
        <v>3992</v>
      </c>
      <c r="I41" s="498"/>
      <c r="J41" s="498"/>
    </row>
    <row r="42" spans="1:10" s="40" customFormat="1">
      <c r="A42" s="494">
        <v>30</v>
      </c>
      <c r="B42" s="499">
        <v>200</v>
      </c>
      <c r="C42" s="499">
        <v>200</v>
      </c>
      <c r="D42" s="495">
        <v>200</v>
      </c>
      <c r="E42" s="495"/>
      <c r="F42" s="496"/>
      <c r="G42" s="497" t="s">
        <v>3993</v>
      </c>
      <c r="H42" s="420" t="s">
        <v>3994</v>
      </c>
      <c r="I42" s="498"/>
      <c r="J42" s="498"/>
    </row>
    <row r="43" spans="1:10" s="40" customFormat="1">
      <c r="A43" s="494">
        <v>30</v>
      </c>
      <c r="B43" s="499">
        <v>200</v>
      </c>
      <c r="C43" s="499">
        <v>200</v>
      </c>
      <c r="D43" s="495">
        <v>300</v>
      </c>
      <c r="E43" s="495"/>
      <c r="F43" s="496"/>
      <c r="G43" s="497" t="s">
        <v>3995</v>
      </c>
      <c r="H43" s="420" t="s">
        <v>3996</v>
      </c>
      <c r="I43" s="498"/>
      <c r="J43" s="498"/>
    </row>
    <row r="44" spans="1:10" s="40" customFormat="1">
      <c r="A44" s="494">
        <v>30</v>
      </c>
      <c r="B44" s="499">
        <v>200</v>
      </c>
      <c r="C44" s="499">
        <v>200</v>
      </c>
      <c r="D44" s="495">
        <v>400</v>
      </c>
      <c r="E44" s="495"/>
      <c r="F44" s="496"/>
      <c r="G44" s="497" t="s">
        <v>3997</v>
      </c>
      <c r="H44" s="420" t="s">
        <v>3998</v>
      </c>
      <c r="I44" s="498"/>
      <c r="J44" s="498"/>
    </row>
    <row r="45" spans="1:10" s="409" customFormat="1">
      <c r="A45" s="503">
        <v>100</v>
      </c>
      <c r="B45" s="504">
        <v>0</v>
      </c>
      <c r="C45" s="504">
        <v>0</v>
      </c>
      <c r="D45" s="504">
        <v>0</v>
      </c>
      <c r="E45" s="504">
        <v>0</v>
      </c>
      <c r="F45" s="505">
        <v>0</v>
      </c>
      <c r="G45" s="506" t="s">
        <v>3999</v>
      </c>
      <c r="H45" s="507"/>
      <c r="I45" s="508"/>
      <c r="J45" s="508"/>
    </row>
    <row r="46" spans="1:10" s="40" customFormat="1">
      <c r="A46" s="494">
        <v>100</v>
      </c>
      <c r="B46" s="499">
        <v>100</v>
      </c>
      <c r="C46" s="499"/>
      <c r="D46" s="499"/>
      <c r="E46" s="499"/>
      <c r="F46" s="500"/>
      <c r="G46" s="501" t="s">
        <v>4000</v>
      </c>
      <c r="H46" s="420"/>
      <c r="I46" s="502"/>
      <c r="J46" s="502"/>
    </row>
    <row r="47" spans="1:10" s="40" customFormat="1">
      <c r="A47" s="494">
        <v>100</v>
      </c>
      <c r="B47" s="499">
        <v>100</v>
      </c>
      <c r="C47" s="499">
        <v>100</v>
      </c>
      <c r="D47" s="499"/>
      <c r="E47" s="499"/>
      <c r="F47" s="500"/>
      <c r="G47" s="501" t="s">
        <v>540</v>
      </c>
      <c r="H47" s="420" t="s">
        <v>4001</v>
      </c>
      <c r="I47" s="502"/>
      <c r="J47" s="502"/>
    </row>
    <row r="48" spans="1:10" s="40" customFormat="1" ht="25.5">
      <c r="A48" s="494">
        <v>100</v>
      </c>
      <c r="B48" s="499">
        <v>100</v>
      </c>
      <c r="C48" s="499">
        <v>100</v>
      </c>
      <c r="D48" s="495">
        <v>10</v>
      </c>
      <c r="E48" s="495"/>
      <c r="F48" s="496"/>
      <c r="G48" s="521" t="s">
        <v>542</v>
      </c>
      <c r="H48" s="420"/>
      <c r="I48" s="386">
        <v>29547</v>
      </c>
      <c r="J48" s="386">
        <v>33824</v>
      </c>
    </row>
    <row r="49" spans="1:10" s="40" customFormat="1">
      <c r="A49" s="494">
        <v>100</v>
      </c>
      <c r="B49" s="499">
        <v>100</v>
      </c>
      <c r="C49" s="499">
        <v>100</v>
      </c>
      <c r="D49" s="495">
        <v>20</v>
      </c>
      <c r="E49" s="495"/>
      <c r="F49" s="496"/>
      <c r="G49" s="520" t="s">
        <v>545</v>
      </c>
      <c r="H49" s="420"/>
      <c r="I49" s="386">
        <v>2894</v>
      </c>
      <c r="J49" s="386">
        <v>4334</v>
      </c>
    </row>
    <row r="50" spans="1:10" s="40" customFormat="1">
      <c r="A50" s="494">
        <v>100</v>
      </c>
      <c r="B50" s="499">
        <v>100</v>
      </c>
      <c r="C50" s="499">
        <v>100</v>
      </c>
      <c r="D50" s="495">
        <v>30</v>
      </c>
      <c r="E50" s="495"/>
      <c r="F50" s="496"/>
      <c r="G50" s="520" t="s">
        <v>549</v>
      </c>
      <c r="H50" s="420"/>
      <c r="I50" s="498"/>
      <c r="J50" s="498"/>
    </row>
    <row r="51" spans="1:10" s="40" customFormat="1">
      <c r="A51" s="494">
        <v>100</v>
      </c>
      <c r="B51" s="499">
        <v>100</v>
      </c>
      <c r="C51" s="495">
        <v>200</v>
      </c>
      <c r="D51" s="495"/>
      <c r="E51" s="495"/>
      <c r="F51" s="496"/>
      <c r="G51" s="497" t="s">
        <v>557</v>
      </c>
      <c r="H51" s="420" t="s">
        <v>4002</v>
      </c>
      <c r="I51" s="498"/>
      <c r="J51" s="498"/>
    </row>
    <row r="52" spans="1:10" s="40" customFormat="1">
      <c r="A52" s="494">
        <v>100</v>
      </c>
      <c r="B52" s="499">
        <v>100</v>
      </c>
      <c r="C52" s="499">
        <v>300</v>
      </c>
      <c r="D52" s="499"/>
      <c r="E52" s="499"/>
      <c r="F52" s="500"/>
      <c r="G52" s="501" t="s">
        <v>565</v>
      </c>
      <c r="H52" s="420" t="s">
        <v>4003</v>
      </c>
      <c r="I52" s="502"/>
      <c r="J52" s="502"/>
    </row>
    <row r="53" spans="1:10" s="40" customFormat="1">
      <c r="A53" s="494">
        <v>100</v>
      </c>
      <c r="B53" s="499">
        <v>100</v>
      </c>
      <c r="C53" s="499">
        <v>300</v>
      </c>
      <c r="D53" s="495">
        <v>10</v>
      </c>
      <c r="E53" s="495"/>
      <c r="F53" s="496"/>
      <c r="G53" s="520" t="s">
        <v>565</v>
      </c>
      <c r="H53" s="420"/>
      <c r="I53" s="386">
        <v>64165</v>
      </c>
      <c r="J53" s="386">
        <v>59268</v>
      </c>
    </row>
    <row r="54" spans="1:10" s="40" customFormat="1">
      <c r="A54" s="494">
        <v>100</v>
      </c>
      <c r="B54" s="499">
        <v>100</v>
      </c>
      <c r="C54" s="499">
        <v>300</v>
      </c>
      <c r="D54" s="495">
        <v>20</v>
      </c>
      <c r="E54" s="495"/>
      <c r="F54" s="496"/>
      <c r="G54" s="520" t="s">
        <v>569</v>
      </c>
      <c r="H54" s="420"/>
      <c r="I54" s="386"/>
      <c r="J54" s="386"/>
    </row>
    <row r="55" spans="1:10" s="40" customFormat="1">
      <c r="A55" s="494">
        <v>100</v>
      </c>
      <c r="B55" s="499">
        <v>100</v>
      </c>
      <c r="C55" s="499">
        <v>300</v>
      </c>
      <c r="D55" s="495">
        <v>30</v>
      </c>
      <c r="E55" s="495"/>
      <c r="F55" s="496"/>
      <c r="G55" s="520" t="s">
        <v>571</v>
      </c>
      <c r="H55" s="420"/>
      <c r="I55" s="386">
        <v>1127336</v>
      </c>
      <c r="J55" s="386">
        <v>944892</v>
      </c>
    </row>
    <row r="56" spans="1:10" s="40" customFormat="1">
      <c r="A56" s="494">
        <v>100</v>
      </c>
      <c r="B56" s="499">
        <v>100</v>
      </c>
      <c r="C56" s="495">
        <v>400</v>
      </c>
      <c r="D56" s="495"/>
      <c r="E56" s="495"/>
      <c r="F56" s="496"/>
      <c r="G56" s="497" t="s">
        <v>573</v>
      </c>
      <c r="H56" s="420" t="s">
        <v>4004</v>
      </c>
      <c r="I56" s="386">
        <v>1253</v>
      </c>
      <c r="J56" s="386">
        <v>468</v>
      </c>
    </row>
    <row r="57" spans="1:10" s="40" customFormat="1">
      <c r="A57" s="494">
        <v>100</v>
      </c>
      <c r="B57" s="499">
        <v>100</v>
      </c>
      <c r="C57" s="495">
        <v>500</v>
      </c>
      <c r="D57" s="495"/>
      <c r="E57" s="495"/>
      <c r="F57" s="496"/>
      <c r="G57" s="497" t="s">
        <v>575</v>
      </c>
      <c r="H57" s="420" t="s">
        <v>4005</v>
      </c>
      <c r="I57" s="498"/>
      <c r="J57" s="498"/>
    </row>
    <row r="58" spans="1:10" s="40" customFormat="1">
      <c r="A58" s="494">
        <v>100</v>
      </c>
      <c r="B58" s="499">
        <v>100</v>
      </c>
      <c r="C58" s="495">
        <v>600</v>
      </c>
      <c r="D58" s="495"/>
      <c r="E58" s="495"/>
      <c r="F58" s="496"/>
      <c r="G58" s="497" t="s">
        <v>577</v>
      </c>
      <c r="H58" s="420" t="s">
        <v>4006</v>
      </c>
      <c r="I58" s="498">
        <v>69146</v>
      </c>
      <c r="J58" s="498">
        <v>48798</v>
      </c>
    </row>
    <row r="59" spans="1:10" s="40" customFormat="1">
      <c r="A59" s="494">
        <v>100</v>
      </c>
      <c r="B59" s="499">
        <v>100</v>
      </c>
      <c r="C59" s="495">
        <v>700</v>
      </c>
      <c r="D59" s="495"/>
      <c r="E59" s="495"/>
      <c r="F59" s="496"/>
      <c r="G59" s="497" t="s">
        <v>579</v>
      </c>
      <c r="H59" s="420" t="s">
        <v>4007</v>
      </c>
      <c r="I59" s="498"/>
      <c r="J59" s="498"/>
    </row>
    <row r="60" spans="1:10" s="40" customFormat="1">
      <c r="A60" s="494">
        <v>100</v>
      </c>
      <c r="B60" s="499">
        <v>100</v>
      </c>
      <c r="C60" s="495">
        <v>800</v>
      </c>
      <c r="D60" s="495"/>
      <c r="E60" s="495"/>
      <c r="F60" s="496"/>
      <c r="G60" s="497" t="s">
        <v>581</v>
      </c>
      <c r="H60" s="420" t="s">
        <v>4008</v>
      </c>
      <c r="I60" s="386">
        <v>131495</v>
      </c>
      <c r="J60" s="386">
        <v>112794</v>
      </c>
    </row>
    <row r="61" spans="1:10" s="40" customFormat="1">
      <c r="A61" s="494">
        <v>100</v>
      </c>
      <c r="B61" s="499">
        <v>100</v>
      </c>
      <c r="C61" s="495">
        <v>900</v>
      </c>
      <c r="D61" s="495"/>
      <c r="E61" s="495"/>
      <c r="F61" s="496"/>
      <c r="G61" s="497" t="s">
        <v>4009</v>
      </c>
      <c r="H61" s="420" t="s">
        <v>4010</v>
      </c>
      <c r="I61" s="498"/>
      <c r="J61" s="498"/>
    </row>
    <row r="62" spans="1:10" s="40" customFormat="1">
      <c r="A62" s="494">
        <v>100</v>
      </c>
      <c r="B62" s="499">
        <v>200</v>
      </c>
      <c r="C62" s="499"/>
      <c r="D62" s="499"/>
      <c r="E62" s="499"/>
      <c r="F62" s="500"/>
      <c r="G62" s="501" t="s">
        <v>4011</v>
      </c>
      <c r="H62" s="420"/>
      <c r="I62" s="502"/>
      <c r="J62" s="502"/>
    </row>
    <row r="63" spans="1:10" s="40" customFormat="1">
      <c r="A63" s="494">
        <v>100</v>
      </c>
      <c r="B63" s="499">
        <v>200</v>
      </c>
      <c r="C63" s="495">
        <v>100</v>
      </c>
      <c r="D63" s="495"/>
      <c r="E63" s="495"/>
      <c r="F63" s="496"/>
      <c r="G63" s="497" t="s">
        <v>595</v>
      </c>
      <c r="H63" s="420" t="s">
        <v>4012</v>
      </c>
      <c r="I63" s="498">
        <v>61</v>
      </c>
      <c r="J63" s="498">
        <v>21</v>
      </c>
    </row>
    <row r="64" spans="1:10" s="40" customFormat="1">
      <c r="A64" s="494">
        <v>100</v>
      </c>
      <c r="B64" s="499">
        <v>200</v>
      </c>
      <c r="C64" s="495">
        <v>200</v>
      </c>
      <c r="D64" s="495"/>
      <c r="E64" s="495"/>
      <c r="F64" s="496"/>
      <c r="G64" s="497" t="s">
        <v>4013</v>
      </c>
      <c r="H64" s="420" t="s">
        <v>4014</v>
      </c>
      <c r="I64" s="498">
        <v>7647</v>
      </c>
      <c r="J64" s="498">
        <v>7129</v>
      </c>
    </row>
    <row r="65" spans="1:12" s="40" customFormat="1">
      <c r="A65" s="494">
        <v>100</v>
      </c>
      <c r="B65" s="499">
        <v>200</v>
      </c>
      <c r="C65" s="495">
        <v>300</v>
      </c>
      <c r="D65" s="495"/>
      <c r="E65" s="495"/>
      <c r="F65" s="496"/>
      <c r="G65" s="497" t="s">
        <v>599</v>
      </c>
      <c r="H65" s="420" t="s">
        <v>4015</v>
      </c>
      <c r="I65" s="498"/>
      <c r="J65" s="498"/>
    </row>
    <row r="66" spans="1:12" s="40" customFormat="1">
      <c r="A66" s="494">
        <v>100</v>
      </c>
      <c r="B66" s="499">
        <v>200</v>
      </c>
      <c r="C66" s="495">
        <v>400</v>
      </c>
      <c r="D66" s="495"/>
      <c r="E66" s="495"/>
      <c r="F66" s="496"/>
      <c r="G66" s="497" t="s">
        <v>601</v>
      </c>
      <c r="H66" s="420" t="s">
        <v>4016</v>
      </c>
      <c r="I66" s="498">
        <v>94431</v>
      </c>
      <c r="J66" s="498">
        <v>84513</v>
      </c>
    </row>
    <row r="67" spans="1:12" s="40" customFormat="1">
      <c r="A67" s="494">
        <v>100</v>
      </c>
      <c r="B67" s="499">
        <v>200</v>
      </c>
      <c r="C67" s="495">
        <v>500</v>
      </c>
      <c r="D67" s="495"/>
      <c r="E67" s="495"/>
      <c r="F67" s="496"/>
      <c r="G67" s="497" t="s">
        <v>606</v>
      </c>
      <c r="H67" s="420" t="s">
        <v>4017</v>
      </c>
      <c r="I67" s="498">
        <v>5742</v>
      </c>
      <c r="J67" s="498">
        <v>6330</v>
      </c>
    </row>
    <row r="68" spans="1:12" s="40" customFormat="1">
      <c r="A68" s="494">
        <v>100</v>
      </c>
      <c r="B68" s="499">
        <v>200</v>
      </c>
      <c r="C68" s="495">
        <v>600</v>
      </c>
      <c r="D68" s="495"/>
      <c r="E68" s="495"/>
      <c r="F68" s="496"/>
      <c r="G68" s="497" t="s">
        <v>610</v>
      </c>
      <c r="H68" s="420" t="s">
        <v>4018</v>
      </c>
      <c r="I68" s="498">
        <v>9140</v>
      </c>
      <c r="J68" s="498">
        <v>20789</v>
      </c>
    </row>
    <row r="69" spans="1:12" s="40" customFormat="1">
      <c r="A69" s="494">
        <v>100</v>
      </c>
      <c r="B69" s="499">
        <v>200</v>
      </c>
      <c r="C69" s="495">
        <v>700</v>
      </c>
      <c r="D69" s="495"/>
      <c r="E69" s="495"/>
      <c r="F69" s="496"/>
      <c r="G69" s="497" t="s">
        <v>4019</v>
      </c>
      <c r="H69" s="420" t="s">
        <v>4020</v>
      </c>
      <c r="I69" s="498"/>
      <c r="J69" s="498"/>
    </row>
    <row r="70" spans="1:12" s="409" customFormat="1">
      <c r="A70" s="503">
        <v>110</v>
      </c>
      <c r="B70" s="504">
        <v>0</v>
      </c>
      <c r="C70" s="504">
        <v>0</v>
      </c>
      <c r="D70" s="504">
        <v>0</v>
      </c>
      <c r="E70" s="504">
        <v>0</v>
      </c>
      <c r="F70" s="522"/>
      <c r="G70" s="506" t="s">
        <v>4021</v>
      </c>
      <c r="H70" s="523"/>
      <c r="I70" s="524"/>
      <c r="J70" s="524"/>
    </row>
    <row r="71" spans="1:12" s="40" customFormat="1">
      <c r="A71" s="494">
        <v>110</v>
      </c>
      <c r="B71" s="499">
        <v>100</v>
      </c>
      <c r="C71" s="499"/>
      <c r="D71" s="499"/>
      <c r="E71" s="499"/>
      <c r="F71" s="500"/>
      <c r="G71" s="501" t="s">
        <v>4022</v>
      </c>
      <c r="H71" s="420"/>
      <c r="I71" s="502"/>
      <c r="J71" s="502"/>
    </row>
    <row r="72" spans="1:12" s="40" customFormat="1">
      <c r="A72" s="494">
        <v>110</v>
      </c>
      <c r="B72" s="499">
        <v>100</v>
      </c>
      <c r="C72" s="495">
        <v>50</v>
      </c>
      <c r="D72" s="495"/>
      <c r="E72" s="499"/>
      <c r="F72" s="500"/>
      <c r="G72" s="497" t="s">
        <v>4023</v>
      </c>
      <c r="H72" s="420" t="s">
        <v>3579</v>
      </c>
      <c r="I72" s="498">
        <v>0</v>
      </c>
      <c r="J72" s="498">
        <v>234641</v>
      </c>
      <c r="L72" s="685"/>
    </row>
    <row r="73" spans="1:12" s="40" customFormat="1">
      <c r="A73" s="494">
        <v>110</v>
      </c>
      <c r="B73" s="499">
        <v>100</v>
      </c>
      <c r="C73" s="495">
        <v>100</v>
      </c>
      <c r="D73" s="495"/>
      <c r="E73" s="495"/>
      <c r="F73" s="496"/>
      <c r="G73" s="497" t="s">
        <v>4024</v>
      </c>
      <c r="H73" s="420" t="s">
        <v>3581</v>
      </c>
      <c r="I73" s="498">
        <v>2554235</v>
      </c>
      <c r="J73" s="498">
        <v>2554235</v>
      </c>
    </row>
    <row r="74" spans="1:12" s="40" customFormat="1">
      <c r="A74" s="494">
        <v>110</v>
      </c>
      <c r="B74" s="499">
        <v>100</v>
      </c>
      <c r="C74" s="495">
        <v>200</v>
      </c>
      <c r="D74" s="495"/>
      <c r="E74" s="495"/>
      <c r="F74" s="496"/>
      <c r="G74" s="497" t="s">
        <v>4025</v>
      </c>
      <c r="H74" s="420" t="s">
        <v>3583</v>
      </c>
      <c r="I74" s="498"/>
      <c r="J74" s="498"/>
    </row>
    <row r="75" spans="1:12" s="40" customFormat="1">
      <c r="A75" s="494">
        <v>110</v>
      </c>
      <c r="B75" s="499">
        <v>100</v>
      </c>
      <c r="C75" s="495">
        <v>300</v>
      </c>
      <c r="D75" s="495"/>
      <c r="E75" s="495"/>
      <c r="F75" s="496"/>
      <c r="G75" s="497" t="s">
        <v>4026</v>
      </c>
      <c r="H75" s="420" t="s">
        <v>3585</v>
      </c>
      <c r="I75" s="498"/>
      <c r="J75" s="498"/>
    </row>
    <row r="76" spans="1:12" s="40" customFormat="1">
      <c r="A76" s="494">
        <v>110</v>
      </c>
      <c r="B76" s="499">
        <v>100</v>
      </c>
      <c r="C76" s="495">
        <v>400</v>
      </c>
      <c r="D76" s="495"/>
      <c r="E76" s="495"/>
      <c r="F76" s="496"/>
      <c r="G76" s="497" t="s">
        <v>4027</v>
      </c>
      <c r="H76" s="420" t="s">
        <v>3587</v>
      </c>
      <c r="I76" s="498"/>
      <c r="J76" s="498"/>
    </row>
    <row r="77" spans="1:12" s="40" customFormat="1">
      <c r="A77" s="494">
        <v>110</v>
      </c>
      <c r="B77" s="499">
        <v>100</v>
      </c>
      <c r="C77" s="495">
        <v>500</v>
      </c>
      <c r="D77" s="495"/>
      <c r="E77" s="495"/>
      <c r="F77" s="496"/>
      <c r="G77" s="497" t="s">
        <v>4028</v>
      </c>
      <c r="H77" s="420" t="s">
        <v>3589</v>
      </c>
      <c r="I77" s="498"/>
      <c r="J77" s="498"/>
    </row>
    <row r="78" spans="1:12" s="40" customFormat="1">
      <c r="A78" s="494">
        <v>110</v>
      </c>
      <c r="B78" s="499">
        <v>100</v>
      </c>
      <c r="C78" s="499">
        <v>600</v>
      </c>
      <c r="D78" s="499"/>
      <c r="E78" s="499"/>
      <c r="F78" s="500"/>
      <c r="G78" s="501" t="s">
        <v>4029</v>
      </c>
      <c r="H78" s="420" t="s">
        <v>3591</v>
      </c>
      <c r="I78" s="502"/>
      <c r="J78" s="502"/>
    </row>
    <row r="79" spans="1:12" s="40" customFormat="1">
      <c r="A79" s="494">
        <v>110</v>
      </c>
      <c r="B79" s="499">
        <v>100</v>
      </c>
      <c r="C79" s="499">
        <v>600</v>
      </c>
      <c r="D79" s="495">
        <v>100</v>
      </c>
      <c r="E79" s="495"/>
      <c r="F79" s="496"/>
      <c r="G79" s="497" t="s">
        <v>4029</v>
      </c>
      <c r="H79" s="420"/>
      <c r="I79" s="498">
        <v>753869</v>
      </c>
      <c r="J79" s="498">
        <v>2094100</v>
      </c>
    </row>
    <row r="80" spans="1:12" s="40" customFormat="1">
      <c r="A80" s="494">
        <v>110</v>
      </c>
      <c r="B80" s="499">
        <v>100</v>
      </c>
      <c r="C80" s="499">
        <v>600</v>
      </c>
      <c r="D80" s="495">
        <v>800</v>
      </c>
      <c r="E80" s="495"/>
      <c r="F80" s="496"/>
      <c r="G80" s="497" t="s">
        <v>4030</v>
      </c>
      <c r="H80" s="420"/>
      <c r="I80" s="498"/>
      <c r="J80" s="498"/>
    </row>
    <row r="81" spans="1:10" s="40" customFormat="1">
      <c r="A81" s="494">
        <v>110</v>
      </c>
      <c r="B81" s="499">
        <v>100</v>
      </c>
      <c r="C81" s="499">
        <v>600</v>
      </c>
      <c r="D81" s="495">
        <v>900</v>
      </c>
      <c r="E81" s="495"/>
      <c r="F81" s="496"/>
      <c r="G81" s="497" t="s">
        <v>4031</v>
      </c>
      <c r="H81" s="420"/>
      <c r="I81" s="498"/>
      <c r="J81" s="498"/>
    </row>
    <row r="82" spans="1:10" s="40" customFormat="1">
      <c r="A82" s="494">
        <v>110</v>
      </c>
      <c r="B82" s="499">
        <v>100</v>
      </c>
      <c r="C82" s="499">
        <v>650</v>
      </c>
      <c r="D82" s="495"/>
      <c r="E82" s="499"/>
      <c r="F82" s="500"/>
      <c r="G82" s="497" t="s">
        <v>4032</v>
      </c>
      <c r="H82" s="420" t="s">
        <v>3593</v>
      </c>
      <c r="I82" s="498"/>
      <c r="J82" s="498"/>
    </row>
    <row r="83" spans="1:10" s="40" customFormat="1">
      <c r="A83" s="494">
        <v>110</v>
      </c>
      <c r="B83" s="499">
        <v>100</v>
      </c>
      <c r="C83" s="495">
        <v>700</v>
      </c>
      <c r="D83" s="495"/>
      <c r="E83" s="495"/>
      <c r="F83" s="496"/>
      <c r="G83" s="497" t="s">
        <v>4033</v>
      </c>
      <c r="H83" s="420" t="s">
        <v>3595</v>
      </c>
      <c r="I83" s="498">
        <v>15930649</v>
      </c>
      <c r="J83" s="498">
        <v>15955773</v>
      </c>
    </row>
    <row r="84" spans="1:10" s="40" customFormat="1">
      <c r="A84" s="494">
        <v>110</v>
      </c>
      <c r="B84" s="499">
        <v>100</v>
      </c>
      <c r="C84" s="499">
        <v>800</v>
      </c>
      <c r="D84" s="499"/>
      <c r="E84" s="499"/>
      <c r="F84" s="500"/>
      <c r="G84" s="501" t="s">
        <v>4034</v>
      </c>
      <c r="H84" s="420"/>
      <c r="I84" s="502"/>
      <c r="J84" s="502"/>
    </row>
    <row r="85" spans="1:10" s="40" customFormat="1">
      <c r="A85" s="494">
        <v>110</v>
      </c>
      <c r="B85" s="499">
        <v>100</v>
      </c>
      <c r="C85" s="499">
        <v>800</v>
      </c>
      <c r="D85" s="495">
        <v>100</v>
      </c>
      <c r="E85" s="495"/>
      <c r="F85" s="496"/>
      <c r="G85" s="497" t="s">
        <v>4035</v>
      </c>
      <c r="H85" s="420" t="s">
        <v>3597</v>
      </c>
      <c r="I85" s="498"/>
      <c r="J85" s="498"/>
    </row>
    <row r="86" spans="1:10" s="40" customFormat="1">
      <c r="A86" s="494">
        <v>110</v>
      </c>
      <c r="B86" s="499">
        <v>100</v>
      </c>
      <c r="C86" s="499">
        <v>800</v>
      </c>
      <c r="D86" s="495">
        <v>200</v>
      </c>
      <c r="E86" s="495"/>
      <c r="F86" s="496"/>
      <c r="G86" s="497" t="s">
        <v>4036</v>
      </c>
      <c r="H86" s="420" t="s">
        <v>3599</v>
      </c>
      <c r="I86" s="498">
        <v>1382464</v>
      </c>
      <c r="J86" s="498">
        <v>815169</v>
      </c>
    </row>
    <row r="87" spans="1:10" s="40" customFormat="1">
      <c r="A87" s="494">
        <v>110</v>
      </c>
      <c r="B87" s="499">
        <v>100</v>
      </c>
      <c r="C87" s="499">
        <v>800</v>
      </c>
      <c r="D87" s="499">
        <v>300</v>
      </c>
      <c r="E87" s="499"/>
      <c r="F87" s="500"/>
      <c r="G87" s="501" t="s">
        <v>4037</v>
      </c>
      <c r="H87" s="420" t="s">
        <v>3601</v>
      </c>
      <c r="I87" s="502"/>
      <c r="J87" s="502"/>
    </row>
    <row r="88" spans="1:10" s="40" customFormat="1">
      <c r="A88" s="494">
        <v>110</v>
      </c>
      <c r="B88" s="499">
        <v>100</v>
      </c>
      <c r="C88" s="499">
        <v>800</v>
      </c>
      <c r="D88" s="499">
        <v>300</v>
      </c>
      <c r="E88" s="495">
        <v>10</v>
      </c>
      <c r="F88" s="496"/>
      <c r="G88" s="497" t="s">
        <v>4038</v>
      </c>
      <c r="H88" s="420"/>
      <c r="I88" s="498"/>
      <c r="J88" s="498"/>
    </row>
    <row r="89" spans="1:10" s="40" customFormat="1">
      <c r="A89" s="494">
        <v>110</v>
      </c>
      <c r="B89" s="499">
        <v>100</v>
      </c>
      <c r="C89" s="499">
        <v>800</v>
      </c>
      <c r="D89" s="499">
        <v>300</v>
      </c>
      <c r="E89" s="495">
        <v>20</v>
      </c>
      <c r="F89" s="496"/>
      <c r="G89" s="497" t="s">
        <v>4039</v>
      </c>
      <c r="H89" s="420"/>
      <c r="I89" s="498"/>
      <c r="J89" s="498"/>
    </row>
    <row r="90" spans="1:10" s="40" customFormat="1">
      <c r="A90" s="494">
        <v>110</v>
      </c>
      <c r="B90" s="499">
        <v>100</v>
      </c>
      <c r="C90" s="499">
        <v>800</v>
      </c>
      <c r="D90" s="495">
        <v>300</v>
      </c>
      <c r="E90" s="499">
        <v>90</v>
      </c>
      <c r="F90" s="500"/>
      <c r="G90" s="497" t="s">
        <v>4040</v>
      </c>
      <c r="H90" s="420"/>
      <c r="I90" s="498"/>
      <c r="J90" s="498"/>
    </row>
    <row r="91" spans="1:10" s="40" customFormat="1">
      <c r="A91" s="494">
        <v>110</v>
      </c>
      <c r="B91" s="499">
        <v>100</v>
      </c>
      <c r="C91" s="499">
        <v>800</v>
      </c>
      <c r="D91" s="495">
        <v>400</v>
      </c>
      <c r="E91" s="499"/>
      <c r="F91" s="500"/>
      <c r="G91" s="497" t="s">
        <v>4041</v>
      </c>
      <c r="H91" s="420" t="s">
        <v>3603</v>
      </c>
      <c r="I91" s="498"/>
      <c r="J91" s="498">
        <v>342960</v>
      </c>
    </row>
    <row r="92" spans="1:10" s="40" customFormat="1">
      <c r="A92" s="494">
        <v>110</v>
      </c>
      <c r="B92" s="499">
        <v>100</v>
      </c>
      <c r="C92" s="499">
        <v>900</v>
      </c>
      <c r="D92" s="499"/>
      <c r="E92" s="499"/>
      <c r="F92" s="500"/>
      <c r="G92" s="501" t="s">
        <v>4042</v>
      </c>
      <c r="H92" s="420" t="s">
        <v>3605</v>
      </c>
      <c r="I92" s="502"/>
      <c r="J92" s="502"/>
    </row>
    <row r="93" spans="1:10" s="40" customFormat="1">
      <c r="A93" s="494">
        <v>110</v>
      </c>
      <c r="B93" s="499">
        <v>100</v>
      </c>
      <c r="C93" s="499">
        <v>900</v>
      </c>
      <c r="D93" s="495">
        <v>100</v>
      </c>
      <c r="E93" s="495"/>
      <c r="F93" s="496"/>
      <c r="G93" s="497" t="s">
        <v>4043</v>
      </c>
      <c r="H93" s="420"/>
      <c r="I93" s="498">
        <v>1097</v>
      </c>
      <c r="J93" s="498"/>
    </row>
    <row r="94" spans="1:10" s="40" customFormat="1">
      <c r="A94" s="494">
        <v>110</v>
      </c>
      <c r="B94" s="499">
        <v>100</v>
      </c>
      <c r="C94" s="499">
        <v>900</v>
      </c>
      <c r="D94" s="495">
        <v>800</v>
      </c>
      <c r="E94" s="495"/>
      <c r="F94" s="496"/>
      <c r="G94" s="497" t="s">
        <v>4030</v>
      </c>
      <c r="H94" s="420"/>
      <c r="I94" s="498"/>
      <c r="J94" s="498"/>
    </row>
    <row r="95" spans="1:10" s="40" customFormat="1">
      <c r="A95" s="494">
        <v>110</v>
      </c>
      <c r="B95" s="499">
        <v>100</v>
      </c>
      <c r="C95" s="499">
        <v>900</v>
      </c>
      <c r="D95" s="495">
        <v>900</v>
      </c>
      <c r="E95" s="495"/>
      <c r="F95" s="496"/>
      <c r="G95" s="497" t="s">
        <v>4044</v>
      </c>
      <c r="H95" s="420"/>
      <c r="I95" s="498"/>
      <c r="J95" s="498"/>
    </row>
    <row r="96" spans="1:10" s="40" customFormat="1">
      <c r="A96" s="494">
        <v>110</v>
      </c>
      <c r="B96" s="499">
        <v>200</v>
      </c>
      <c r="C96" s="499"/>
      <c r="D96" s="499"/>
      <c r="E96" s="499"/>
      <c r="F96" s="500"/>
      <c r="G96" s="501" t="s">
        <v>4045</v>
      </c>
      <c r="H96" s="420" t="s">
        <v>4046</v>
      </c>
      <c r="I96" s="502"/>
      <c r="J96" s="502"/>
    </row>
    <row r="97" spans="1:10" s="40" customFormat="1">
      <c r="A97" s="494">
        <v>110</v>
      </c>
      <c r="B97" s="499">
        <v>200</v>
      </c>
      <c r="C97" s="499">
        <v>100</v>
      </c>
      <c r="D97" s="495"/>
      <c r="E97" s="499"/>
      <c r="F97" s="500"/>
      <c r="G97" s="501" t="s">
        <v>4047</v>
      </c>
      <c r="H97" s="420" t="s">
        <v>4048</v>
      </c>
      <c r="I97" s="502"/>
      <c r="J97" s="502"/>
    </row>
    <row r="98" spans="1:10" s="40" customFormat="1">
      <c r="A98" s="494">
        <v>110</v>
      </c>
      <c r="B98" s="499">
        <v>200</v>
      </c>
      <c r="C98" s="499">
        <v>100</v>
      </c>
      <c r="D98" s="495">
        <v>200</v>
      </c>
      <c r="E98" s="495"/>
      <c r="F98" s="496"/>
      <c r="G98" s="497" t="s">
        <v>4049</v>
      </c>
      <c r="H98" s="420" t="s">
        <v>3607</v>
      </c>
      <c r="I98" s="498"/>
      <c r="J98" s="498"/>
    </row>
    <row r="99" spans="1:10" s="40" customFormat="1">
      <c r="A99" s="494">
        <v>110</v>
      </c>
      <c r="B99" s="499">
        <v>200</v>
      </c>
      <c r="C99" s="499">
        <v>100</v>
      </c>
      <c r="D99" s="495">
        <v>300</v>
      </c>
      <c r="E99" s="495"/>
      <c r="F99" s="496"/>
      <c r="G99" s="497" t="s">
        <v>4050</v>
      </c>
      <c r="H99" s="420" t="s">
        <v>3609</v>
      </c>
      <c r="I99" s="498"/>
      <c r="J99" s="498"/>
    </row>
    <row r="100" spans="1:10" s="40" customFormat="1" ht="25.5">
      <c r="A100" s="494">
        <v>110</v>
      </c>
      <c r="B100" s="499">
        <v>200</v>
      </c>
      <c r="C100" s="499">
        <v>100</v>
      </c>
      <c r="D100" s="495">
        <v>400</v>
      </c>
      <c r="E100" s="495"/>
      <c r="F100" s="496"/>
      <c r="G100" s="497" t="s">
        <v>4051</v>
      </c>
      <c r="H100" s="420" t="s">
        <v>3611</v>
      </c>
      <c r="I100" s="498">
        <v>664841</v>
      </c>
      <c r="J100" s="498">
        <v>5452243</v>
      </c>
    </row>
    <row r="101" spans="1:10" s="40" customFormat="1">
      <c r="A101" s="494">
        <v>110</v>
      </c>
      <c r="B101" s="499">
        <v>200</v>
      </c>
      <c r="C101" s="499">
        <v>100</v>
      </c>
      <c r="D101" s="495">
        <v>500</v>
      </c>
      <c r="E101" s="495"/>
      <c r="F101" s="496"/>
      <c r="G101" s="497" t="s">
        <v>4052</v>
      </c>
      <c r="H101" s="420" t="s">
        <v>3613</v>
      </c>
      <c r="I101" s="498"/>
      <c r="J101" s="498"/>
    </row>
    <row r="102" spans="1:10" s="40" customFormat="1" ht="25.5">
      <c r="A102" s="494">
        <v>110</v>
      </c>
      <c r="B102" s="499">
        <v>200</v>
      </c>
      <c r="C102" s="499">
        <v>100</v>
      </c>
      <c r="D102" s="495">
        <v>600</v>
      </c>
      <c r="E102" s="495"/>
      <c r="F102" s="496"/>
      <c r="G102" s="497" t="s">
        <v>4053</v>
      </c>
      <c r="H102" s="420" t="s">
        <v>3615</v>
      </c>
      <c r="I102" s="498"/>
      <c r="J102" s="498"/>
    </row>
    <row r="103" spans="1:10" s="40" customFormat="1" ht="25.5">
      <c r="A103" s="494">
        <v>110</v>
      </c>
      <c r="B103" s="499">
        <v>200</v>
      </c>
      <c r="C103" s="499">
        <v>100</v>
      </c>
      <c r="D103" s="495">
        <v>700</v>
      </c>
      <c r="E103" s="495"/>
      <c r="F103" s="496"/>
      <c r="G103" s="497" t="s">
        <v>4054</v>
      </c>
      <c r="H103" s="420" t="s">
        <v>3617</v>
      </c>
      <c r="I103" s="498"/>
      <c r="J103" s="498"/>
    </row>
    <row r="104" spans="1:10" s="40" customFormat="1">
      <c r="A104" s="494">
        <v>110</v>
      </c>
      <c r="B104" s="499">
        <v>200</v>
      </c>
      <c r="C104" s="499">
        <v>100</v>
      </c>
      <c r="D104" s="495">
        <v>800</v>
      </c>
      <c r="E104" s="499"/>
      <c r="F104" s="500"/>
      <c r="G104" s="501" t="s">
        <v>4055</v>
      </c>
      <c r="H104" s="420" t="s">
        <v>3619</v>
      </c>
      <c r="I104" s="502"/>
      <c r="J104" s="502"/>
    </row>
    <row r="105" spans="1:10" s="40" customFormat="1">
      <c r="A105" s="494">
        <v>110</v>
      </c>
      <c r="B105" s="499">
        <v>200</v>
      </c>
      <c r="C105" s="499">
        <v>100</v>
      </c>
      <c r="D105" s="495">
        <v>800</v>
      </c>
      <c r="E105" s="495">
        <v>10</v>
      </c>
      <c r="F105" s="496"/>
      <c r="G105" s="497" t="s">
        <v>4055</v>
      </c>
      <c r="H105" s="420"/>
      <c r="I105" s="498">
        <v>240133</v>
      </c>
      <c r="J105" s="917">
        <v>1294681</v>
      </c>
    </row>
    <row r="106" spans="1:10" s="40" customFormat="1">
      <c r="A106" s="494">
        <v>110</v>
      </c>
      <c r="B106" s="499">
        <v>200</v>
      </c>
      <c r="C106" s="499">
        <v>100</v>
      </c>
      <c r="D106" s="495">
        <v>800</v>
      </c>
      <c r="E106" s="495">
        <v>80</v>
      </c>
      <c r="F106" s="496"/>
      <c r="G106" s="497" t="s">
        <v>4030</v>
      </c>
      <c r="H106" s="420"/>
      <c r="I106" s="498"/>
      <c r="J106" s="498"/>
    </row>
    <row r="107" spans="1:10" s="40" customFormat="1">
      <c r="A107" s="494">
        <v>110</v>
      </c>
      <c r="B107" s="499">
        <v>200</v>
      </c>
      <c r="C107" s="499">
        <v>100</v>
      </c>
      <c r="D107" s="495">
        <v>800</v>
      </c>
      <c r="E107" s="495">
        <v>90</v>
      </c>
      <c r="F107" s="496"/>
      <c r="G107" s="525" t="s">
        <v>4044</v>
      </c>
      <c r="H107" s="420"/>
      <c r="I107" s="498"/>
      <c r="J107" s="498"/>
    </row>
    <row r="108" spans="1:10" s="40" customFormat="1" ht="25.5">
      <c r="A108" s="494">
        <v>110</v>
      </c>
      <c r="B108" s="499">
        <v>200</v>
      </c>
      <c r="C108" s="499">
        <v>100</v>
      </c>
      <c r="D108" s="495">
        <v>850</v>
      </c>
      <c r="E108" s="499"/>
      <c r="F108" s="500"/>
      <c r="G108" s="497" t="s">
        <v>4056</v>
      </c>
      <c r="H108" s="420" t="s">
        <v>3621</v>
      </c>
      <c r="I108" s="498"/>
      <c r="J108" s="498"/>
    </row>
    <row r="109" spans="1:10" s="40" customFormat="1">
      <c r="A109" s="494">
        <v>110</v>
      </c>
      <c r="B109" s="499">
        <v>200</v>
      </c>
      <c r="C109" s="499">
        <v>100</v>
      </c>
      <c r="D109" s="495">
        <v>900</v>
      </c>
      <c r="E109" s="499"/>
      <c r="F109" s="500"/>
      <c r="G109" s="501" t="s">
        <v>4057</v>
      </c>
      <c r="H109" s="420" t="s">
        <v>3623</v>
      </c>
      <c r="I109" s="502"/>
      <c r="J109" s="502"/>
    </row>
    <row r="110" spans="1:10" s="40" customFormat="1" ht="25.5">
      <c r="A110" s="494">
        <v>110</v>
      </c>
      <c r="B110" s="499">
        <v>200</v>
      </c>
      <c r="C110" s="499">
        <v>100</v>
      </c>
      <c r="D110" s="495">
        <v>900</v>
      </c>
      <c r="E110" s="495">
        <v>10</v>
      </c>
      <c r="F110" s="496"/>
      <c r="G110" s="497" t="s">
        <v>4058</v>
      </c>
      <c r="H110" s="420"/>
      <c r="I110" s="498">
        <v>181979</v>
      </c>
      <c r="J110" s="498">
        <v>390379</v>
      </c>
    </row>
    <row r="111" spans="1:10" s="40" customFormat="1" ht="25.5">
      <c r="A111" s="494">
        <v>110</v>
      </c>
      <c r="B111" s="499">
        <v>200</v>
      </c>
      <c r="C111" s="499">
        <v>100</v>
      </c>
      <c r="D111" s="495">
        <v>900</v>
      </c>
      <c r="E111" s="495">
        <v>20</v>
      </c>
      <c r="F111" s="496"/>
      <c r="G111" s="497" t="s">
        <v>4059</v>
      </c>
      <c r="H111" s="420"/>
      <c r="I111" s="498">
        <v>62598</v>
      </c>
      <c r="J111" s="498">
        <v>496096</v>
      </c>
    </row>
    <row r="112" spans="1:10" s="40" customFormat="1">
      <c r="A112" s="494">
        <v>110</v>
      </c>
      <c r="B112" s="499">
        <v>200</v>
      </c>
      <c r="C112" s="499">
        <v>100</v>
      </c>
      <c r="D112" s="495">
        <v>900</v>
      </c>
      <c r="E112" s="495">
        <v>30</v>
      </c>
      <c r="F112" s="496"/>
      <c r="G112" s="497" t="s">
        <v>4060</v>
      </c>
      <c r="H112" s="420"/>
      <c r="I112" s="498"/>
      <c r="J112" s="498">
        <v>72106</v>
      </c>
    </row>
    <row r="113" spans="1:10" s="40" customFormat="1">
      <c r="A113" s="494">
        <v>110</v>
      </c>
      <c r="B113" s="499">
        <v>200</v>
      </c>
      <c r="C113" s="499">
        <v>100</v>
      </c>
      <c r="D113" s="495">
        <v>900</v>
      </c>
      <c r="E113" s="526">
        <v>90</v>
      </c>
      <c r="F113" s="527"/>
      <c r="G113" s="497" t="s">
        <v>4061</v>
      </c>
      <c r="H113" s="420"/>
      <c r="I113" s="498"/>
      <c r="J113" s="498"/>
    </row>
    <row r="114" spans="1:10" s="40" customFormat="1">
      <c r="A114" s="494">
        <v>110</v>
      </c>
      <c r="B114" s="499">
        <v>200</v>
      </c>
      <c r="C114" s="499">
        <v>100</v>
      </c>
      <c r="D114" s="495">
        <v>950</v>
      </c>
      <c r="E114" s="499"/>
      <c r="F114" s="500"/>
      <c r="G114" s="497" t="s">
        <v>4062</v>
      </c>
      <c r="H114" s="420" t="s">
        <v>3625</v>
      </c>
      <c r="I114" s="498"/>
      <c r="J114" s="498">
        <v>63008</v>
      </c>
    </row>
    <row r="115" spans="1:10" s="40" customFormat="1">
      <c r="A115" s="494">
        <v>110</v>
      </c>
      <c r="B115" s="499">
        <v>200</v>
      </c>
      <c r="C115" s="499">
        <v>200</v>
      </c>
      <c r="D115" s="499"/>
      <c r="E115" s="499"/>
      <c r="F115" s="500"/>
      <c r="G115" s="501" t="s">
        <v>4063</v>
      </c>
      <c r="H115" s="420" t="s">
        <v>4064</v>
      </c>
      <c r="I115" s="502"/>
      <c r="J115" s="502"/>
    </row>
    <row r="116" spans="1:10" s="40" customFormat="1" ht="25.5">
      <c r="A116" s="494">
        <v>110</v>
      </c>
      <c r="B116" s="499">
        <v>200</v>
      </c>
      <c r="C116" s="499">
        <v>200</v>
      </c>
      <c r="D116" s="495">
        <v>100</v>
      </c>
      <c r="E116" s="495"/>
      <c r="F116" s="496"/>
      <c r="G116" s="497" t="s">
        <v>4065</v>
      </c>
      <c r="H116" s="420" t="s">
        <v>3627</v>
      </c>
      <c r="I116" s="498">
        <v>5660436</v>
      </c>
      <c r="J116" s="498">
        <v>5852180</v>
      </c>
    </row>
    <row r="117" spans="1:10" s="40" customFormat="1">
      <c r="A117" s="494">
        <v>110</v>
      </c>
      <c r="B117" s="499">
        <v>200</v>
      </c>
      <c r="C117" s="499">
        <v>200</v>
      </c>
      <c r="D117" s="495">
        <v>200</v>
      </c>
      <c r="E117" s="495"/>
      <c r="F117" s="496"/>
      <c r="G117" s="497" t="s">
        <v>4066</v>
      </c>
      <c r="H117" s="420" t="s">
        <v>3629</v>
      </c>
      <c r="I117" s="498"/>
      <c r="J117" s="498"/>
    </row>
    <row r="118" spans="1:10" s="40" customFormat="1">
      <c r="A118" s="494">
        <v>110</v>
      </c>
      <c r="B118" s="499">
        <v>200</v>
      </c>
      <c r="C118" s="499">
        <v>200</v>
      </c>
      <c r="D118" s="495">
        <v>300</v>
      </c>
      <c r="E118" s="495"/>
      <c r="F118" s="496"/>
      <c r="G118" s="497" t="s">
        <v>4067</v>
      </c>
      <c r="H118" s="420" t="s">
        <v>3631</v>
      </c>
      <c r="I118" s="498"/>
      <c r="J118" s="498"/>
    </row>
    <row r="119" spans="1:10" s="40" customFormat="1" ht="38.25">
      <c r="A119" s="494">
        <v>110</v>
      </c>
      <c r="B119" s="499">
        <v>200</v>
      </c>
      <c r="C119" s="499">
        <v>200</v>
      </c>
      <c r="D119" s="495">
        <v>350</v>
      </c>
      <c r="E119" s="499"/>
      <c r="F119" s="500"/>
      <c r="G119" s="497" t="s">
        <v>4068</v>
      </c>
      <c r="H119" s="420" t="s">
        <v>4069</v>
      </c>
      <c r="I119" s="498"/>
      <c r="J119" s="498"/>
    </row>
    <row r="120" spans="1:10" s="40" customFormat="1">
      <c r="A120" s="494">
        <v>110</v>
      </c>
      <c r="B120" s="499">
        <v>200</v>
      </c>
      <c r="C120" s="499">
        <v>200</v>
      </c>
      <c r="D120" s="495">
        <v>400</v>
      </c>
      <c r="E120" s="495"/>
      <c r="F120" s="496"/>
      <c r="G120" s="497" t="s">
        <v>4070</v>
      </c>
      <c r="H120" s="420" t="s">
        <v>3633</v>
      </c>
      <c r="I120" s="498"/>
      <c r="J120" s="498"/>
    </row>
    <row r="121" spans="1:10" s="40" customFormat="1" ht="25.5">
      <c r="A121" s="494">
        <v>110</v>
      </c>
      <c r="B121" s="499">
        <v>200</v>
      </c>
      <c r="C121" s="499">
        <v>200</v>
      </c>
      <c r="D121" s="495">
        <v>500</v>
      </c>
      <c r="E121" s="495"/>
      <c r="F121" s="496"/>
      <c r="G121" s="497" t="s">
        <v>4071</v>
      </c>
      <c r="H121" s="420" t="s">
        <v>3635</v>
      </c>
      <c r="I121" s="498"/>
      <c r="J121" s="498"/>
    </row>
    <row r="122" spans="1:10" s="40" customFormat="1">
      <c r="A122" s="494">
        <v>110</v>
      </c>
      <c r="B122" s="499">
        <v>200</v>
      </c>
      <c r="C122" s="499">
        <v>300</v>
      </c>
      <c r="D122" s="495"/>
      <c r="E122" s="499"/>
      <c r="F122" s="500"/>
      <c r="G122" s="497" t="s">
        <v>4072</v>
      </c>
      <c r="H122" s="420" t="s">
        <v>4073</v>
      </c>
      <c r="I122" s="498"/>
      <c r="J122" s="498"/>
    </row>
    <row r="123" spans="1:10" s="40" customFormat="1" ht="25.5">
      <c r="A123" s="494">
        <v>110</v>
      </c>
      <c r="B123" s="499">
        <v>200</v>
      </c>
      <c r="C123" s="499">
        <v>400</v>
      </c>
      <c r="D123" s="495"/>
      <c r="E123" s="499"/>
      <c r="F123" s="500"/>
      <c r="G123" s="497" t="s">
        <v>4074</v>
      </c>
      <c r="H123" s="420" t="s">
        <v>4075</v>
      </c>
      <c r="I123" s="498"/>
      <c r="J123" s="498"/>
    </row>
    <row r="124" spans="1:10" s="40" customFormat="1">
      <c r="A124" s="494">
        <v>110</v>
      </c>
      <c r="B124" s="499">
        <v>300</v>
      </c>
      <c r="C124" s="499"/>
      <c r="D124" s="499"/>
      <c r="E124" s="499"/>
      <c r="F124" s="500"/>
      <c r="G124" s="501" t="s">
        <v>4076</v>
      </c>
      <c r="H124" s="420" t="s">
        <v>3637</v>
      </c>
      <c r="I124" s="502"/>
      <c r="J124" s="502"/>
    </row>
    <row r="125" spans="1:10" s="40" customFormat="1">
      <c r="A125" s="494">
        <v>110</v>
      </c>
      <c r="B125" s="499">
        <v>300</v>
      </c>
      <c r="C125" s="495">
        <v>100</v>
      </c>
      <c r="D125" s="495"/>
      <c r="E125" s="495"/>
      <c r="F125" s="496"/>
      <c r="G125" s="497" t="s">
        <v>4077</v>
      </c>
      <c r="H125" s="420"/>
      <c r="I125" s="498"/>
      <c r="J125" s="498"/>
    </row>
    <row r="126" spans="1:10" s="40" customFormat="1">
      <c r="A126" s="494">
        <v>110</v>
      </c>
      <c r="B126" s="499">
        <v>300</v>
      </c>
      <c r="C126" s="495">
        <v>800</v>
      </c>
      <c r="D126" s="495"/>
      <c r="E126" s="495"/>
      <c r="F126" s="496"/>
      <c r="G126" s="497" t="s">
        <v>4030</v>
      </c>
      <c r="H126" s="420"/>
      <c r="I126" s="498"/>
      <c r="J126" s="498"/>
    </row>
    <row r="127" spans="1:10" s="40" customFormat="1">
      <c r="A127" s="494">
        <v>110</v>
      </c>
      <c r="B127" s="499">
        <v>300</v>
      </c>
      <c r="C127" s="495">
        <v>900</v>
      </c>
      <c r="D127" s="495"/>
      <c r="E127" s="495"/>
      <c r="F127" s="496"/>
      <c r="G127" s="525" t="s">
        <v>4044</v>
      </c>
      <c r="H127" s="420"/>
      <c r="I127" s="498"/>
      <c r="J127" s="498"/>
    </row>
    <row r="128" spans="1:10" s="40" customFormat="1">
      <c r="A128" s="494">
        <v>110</v>
      </c>
      <c r="B128" s="499">
        <v>400</v>
      </c>
      <c r="C128" s="499"/>
      <c r="D128" s="499"/>
      <c r="E128" s="499"/>
      <c r="F128" s="500"/>
      <c r="G128" s="501" t="s">
        <v>4078</v>
      </c>
      <c r="H128" s="420" t="s">
        <v>4079</v>
      </c>
      <c r="I128" s="528"/>
      <c r="J128" s="528"/>
    </row>
    <row r="129" spans="1:10" s="40" customFormat="1">
      <c r="A129" s="494">
        <v>110</v>
      </c>
      <c r="B129" s="499">
        <v>400</v>
      </c>
      <c r="C129" s="499">
        <v>100</v>
      </c>
      <c r="D129" s="499"/>
      <c r="E129" s="499"/>
      <c r="F129" s="500"/>
      <c r="G129" s="501" t="s">
        <v>4080</v>
      </c>
      <c r="H129" s="420"/>
      <c r="I129" s="528"/>
      <c r="J129" s="528"/>
    </row>
    <row r="130" spans="1:10" s="40" customFormat="1" ht="25.5">
      <c r="A130" s="494">
        <v>110</v>
      </c>
      <c r="B130" s="499">
        <v>400</v>
      </c>
      <c r="C130" s="499">
        <v>100</v>
      </c>
      <c r="D130" s="495">
        <v>100</v>
      </c>
      <c r="E130" s="495"/>
      <c r="F130" s="496"/>
      <c r="G130" s="497" t="s">
        <v>4081</v>
      </c>
      <c r="H130" s="420" t="s">
        <v>3638</v>
      </c>
      <c r="I130" s="498"/>
      <c r="J130" s="498"/>
    </row>
    <row r="131" spans="1:10" s="40" customFormat="1" ht="25.5">
      <c r="A131" s="494">
        <v>110</v>
      </c>
      <c r="B131" s="499">
        <v>400</v>
      </c>
      <c r="C131" s="499">
        <v>100</v>
      </c>
      <c r="D131" s="499">
        <v>200</v>
      </c>
      <c r="E131" s="499"/>
      <c r="F131" s="500"/>
      <c r="G131" s="501" t="s">
        <v>4082</v>
      </c>
      <c r="H131" s="420" t="s">
        <v>3639</v>
      </c>
      <c r="I131" s="528"/>
      <c r="J131" s="528"/>
    </row>
    <row r="132" spans="1:10" s="40" customFormat="1" ht="25.5">
      <c r="A132" s="494">
        <v>110</v>
      </c>
      <c r="B132" s="499">
        <v>400</v>
      </c>
      <c r="C132" s="499">
        <v>100</v>
      </c>
      <c r="D132" s="499">
        <v>200</v>
      </c>
      <c r="E132" s="495">
        <v>10</v>
      </c>
      <c r="F132" s="496"/>
      <c r="G132" s="497" t="s">
        <v>4082</v>
      </c>
      <c r="H132" s="420"/>
      <c r="I132" s="498">
        <v>2963837</v>
      </c>
      <c r="J132" s="498">
        <v>1754021</v>
      </c>
    </row>
    <row r="133" spans="1:10" s="40" customFormat="1">
      <c r="A133" s="494">
        <v>110</v>
      </c>
      <c r="B133" s="499">
        <v>400</v>
      </c>
      <c r="C133" s="499">
        <v>100</v>
      </c>
      <c r="D133" s="499">
        <v>200</v>
      </c>
      <c r="E133" s="495">
        <v>80</v>
      </c>
      <c r="F133" s="496"/>
      <c r="G133" s="497" t="s">
        <v>4030</v>
      </c>
      <c r="H133" s="420"/>
      <c r="I133" s="498">
        <v>223823</v>
      </c>
      <c r="J133" s="498">
        <v>743282</v>
      </c>
    </row>
    <row r="134" spans="1:10" s="40" customFormat="1">
      <c r="A134" s="494">
        <v>110</v>
      </c>
      <c r="B134" s="499">
        <v>400</v>
      </c>
      <c r="C134" s="499">
        <v>100</v>
      </c>
      <c r="D134" s="499">
        <v>200</v>
      </c>
      <c r="E134" s="495">
        <v>90</v>
      </c>
      <c r="F134" s="496"/>
      <c r="G134" s="525" t="s">
        <v>4044</v>
      </c>
      <c r="H134" s="420"/>
      <c r="I134" s="498"/>
      <c r="J134" s="498"/>
    </row>
    <row r="135" spans="1:10" s="40" customFormat="1">
      <c r="A135" s="494">
        <v>110</v>
      </c>
      <c r="B135" s="499">
        <v>400</v>
      </c>
      <c r="C135" s="499">
        <v>100</v>
      </c>
      <c r="D135" s="499">
        <v>300</v>
      </c>
      <c r="E135" s="499"/>
      <c r="F135" s="500"/>
      <c r="G135" s="501" t="s">
        <v>4083</v>
      </c>
      <c r="H135" s="420" t="s">
        <v>3640</v>
      </c>
      <c r="I135" s="502"/>
      <c r="J135" s="502"/>
    </row>
    <row r="136" spans="1:10" s="40" customFormat="1">
      <c r="A136" s="494">
        <v>110</v>
      </c>
      <c r="B136" s="499">
        <v>400</v>
      </c>
      <c r="C136" s="499">
        <v>100</v>
      </c>
      <c r="D136" s="499">
        <v>300</v>
      </c>
      <c r="E136" s="495">
        <v>10</v>
      </c>
      <c r="F136" s="496"/>
      <c r="G136" s="497" t="s">
        <v>4084</v>
      </c>
      <c r="H136" s="420"/>
      <c r="I136" s="386">
        <v>3874835</v>
      </c>
      <c r="J136" s="386">
        <v>3956950</v>
      </c>
    </row>
    <row r="137" spans="1:10" s="40" customFormat="1">
      <c r="A137" s="494">
        <v>110</v>
      </c>
      <c r="B137" s="499">
        <v>400</v>
      </c>
      <c r="C137" s="499">
        <v>100</v>
      </c>
      <c r="D137" s="499">
        <v>300</v>
      </c>
      <c r="E137" s="495">
        <v>80</v>
      </c>
      <c r="F137" s="496"/>
      <c r="G137" s="497" t="s">
        <v>4030</v>
      </c>
      <c r="H137" s="420"/>
      <c r="I137" s="386">
        <v>33146</v>
      </c>
      <c r="J137" s="386">
        <v>53159</v>
      </c>
    </row>
    <row r="138" spans="1:10" s="40" customFormat="1">
      <c r="A138" s="494">
        <v>110</v>
      </c>
      <c r="B138" s="499">
        <v>400</v>
      </c>
      <c r="C138" s="499">
        <v>100</v>
      </c>
      <c r="D138" s="499">
        <v>300</v>
      </c>
      <c r="E138" s="495">
        <v>90</v>
      </c>
      <c r="F138" s="496"/>
      <c r="G138" s="497" t="s">
        <v>4031</v>
      </c>
      <c r="H138" s="420"/>
      <c r="I138" s="498"/>
      <c r="J138" s="498"/>
    </row>
    <row r="139" spans="1:10" s="40" customFormat="1">
      <c r="A139" s="494">
        <v>110</v>
      </c>
      <c r="B139" s="499">
        <v>400</v>
      </c>
      <c r="C139" s="499">
        <v>200</v>
      </c>
      <c r="D139" s="499"/>
      <c r="E139" s="499"/>
      <c r="F139" s="500"/>
      <c r="G139" s="501" t="s">
        <v>4085</v>
      </c>
      <c r="H139" s="420" t="s">
        <v>3641</v>
      </c>
      <c r="I139" s="498"/>
      <c r="J139" s="498"/>
    </row>
    <row r="140" spans="1:10" s="40" customFormat="1" ht="38.25">
      <c r="A140" s="494">
        <v>110</v>
      </c>
      <c r="B140" s="499">
        <v>400</v>
      </c>
      <c r="C140" s="499">
        <v>250</v>
      </c>
      <c r="D140" s="499"/>
      <c r="E140" s="499"/>
      <c r="F140" s="500"/>
      <c r="G140" s="501" t="s">
        <v>4086</v>
      </c>
      <c r="H140" s="420" t="s">
        <v>4087</v>
      </c>
      <c r="I140" s="498"/>
      <c r="J140" s="498"/>
    </row>
    <row r="141" spans="1:10" s="40" customFormat="1">
      <c r="A141" s="494">
        <v>110</v>
      </c>
      <c r="B141" s="499">
        <v>400</v>
      </c>
      <c r="C141" s="499">
        <v>300</v>
      </c>
      <c r="D141" s="499"/>
      <c r="E141" s="499"/>
      <c r="F141" s="500"/>
      <c r="G141" s="501" t="s">
        <v>4088</v>
      </c>
      <c r="H141" s="420" t="s">
        <v>3643</v>
      </c>
      <c r="I141" s="502"/>
      <c r="J141" s="502"/>
    </row>
    <row r="142" spans="1:10" s="40" customFormat="1">
      <c r="A142" s="494">
        <v>110</v>
      </c>
      <c r="B142" s="499">
        <v>400</v>
      </c>
      <c r="C142" s="499">
        <v>300</v>
      </c>
      <c r="D142" s="495">
        <v>100</v>
      </c>
      <c r="E142" s="495"/>
      <c r="F142" s="496"/>
      <c r="G142" s="497" t="s">
        <v>4088</v>
      </c>
      <c r="H142" s="420"/>
      <c r="I142" s="498">
        <v>792423</v>
      </c>
      <c r="J142" s="498">
        <v>235178</v>
      </c>
    </row>
    <row r="143" spans="1:10" s="40" customFormat="1">
      <c r="A143" s="494">
        <v>110</v>
      </c>
      <c r="B143" s="499">
        <v>400</v>
      </c>
      <c r="C143" s="499">
        <v>300</v>
      </c>
      <c r="D143" s="495">
        <v>800</v>
      </c>
      <c r="E143" s="495"/>
      <c r="F143" s="496"/>
      <c r="G143" s="497" t="s">
        <v>4030</v>
      </c>
      <c r="H143" s="420"/>
      <c r="I143" s="498">
        <v>25884</v>
      </c>
      <c r="J143" s="498">
        <v>35377</v>
      </c>
    </row>
    <row r="144" spans="1:10" s="40" customFormat="1">
      <c r="A144" s="494">
        <v>110</v>
      </c>
      <c r="B144" s="499">
        <v>400</v>
      </c>
      <c r="C144" s="499">
        <v>300</v>
      </c>
      <c r="D144" s="495">
        <v>900</v>
      </c>
      <c r="E144" s="495"/>
      <c r="F144" s="496"/>
      <c r="G144" s="497" t="s">
        <v>4031</v>
      </c>
      <c r="H144" s="420"/>
      <c r="I144" s="498"/>
      <c r="J144" s="498"/>
    </row>
    <row r="145" spans="1:10" s="40" customFormat="1" ht="25.5">
      <c r="A145" s="494">
        <v>110</v>
      </c>
      <c r="B145" s="499">
        <v>400</v>
      </c>
      <c r="C145" s="499">
        <v>350</v>
      </c>
      <c r="D145" s="499"/>
      <c r="E145" s="499"/>
      <c r="F145" s="500"/>
      <c r="G145" s="501" t="s">
        <v>4089</v>
      </c>
      <c r="H145" s="420" t="s">
        <v>4090</v>
      </c>
      <c r="I145" s="498"/>
      <c r="J145" s="498"/>
    </row>
    <row r="146" spans="1:10" s="40" customFormat="1">
      <c r="A146" s="494">
        <v>110</v>
      </c>
      <c r="B146" s="499">
        <v>500</v>
      </c>
      <c r="C146" s="499"/>
      <c r="D146" s="499"/>
      <c r="E146" s="499"/>
      <c r="F146" s="500"/>
      <c r="G146" s="501" t="s">
        <v>4091</v>
      </c>
      <c r="H146" s="420"/>
      <c r="I146" s="502"/>
      <c r="J146" s="502"/>
    </row>
    <row r="147" spans="1:10" s="40" customFormat="1">
      <c r="A147" s="494">
        <v>110</v>
      </c>
      <c r="B147" s="499">
        <v>500</v>
      </c>
      <c r="C147" s="495">
        <v>100</v>
      </c>
      <c r="D147" s="495"/>
      <c r="E147" s="495"/>
      <c r="F147" s="496"/>
      <c r="G147" s="497" t="s">
        <v>4092</v>
      </c>
      <c r="H147" s="420" t="s">
        <v>3645</v>
      </c>
      <c r="I147" s="498"/>
      <c r="J147" s="498"/>
    </row>
    <row r="148" spans="1:10" s="40" customFormat="1">
      <c r="A148" s="494">
        <v>110</v>
      </c>
      <c r="B148" s="499">
        <v>500</v>
      </c>
      <c r="C148" s="495">
        <v>200</v>
      </c>
      <c r="D148" s="495"/>
      <c r="E148" s="495"/>
      <c r="F148" s="496"/>
      <c r="G148" s="497" t="s">
        <v>4093</v>
      </c>
      <c r="H148" s="420" t="s">
        <v>3647</v>
      </c>
      <c r="I148" s="498"/>
      <c r="J148" s="498"/>
    </row>
    <row r="149" spans="1:10" s="40" customFormat="1">
      <c r="A149" s="494">
        <v>110</v>
      </c>
      <c r="B149" s="499">
        <v>500</v>
      </c>
      <c r="C149" s="529">
        <v>300</v>
      </c>
      <c r="D149" s="499"/>
      <c r="E149" s="499"/>
      <c r="F149" s="500"/>
      <c r="G149" s="501" t="s">
        <v>4094</v>
      </c>
      <c r="H149" s="420" t="s">
        <v>3649</v>
      </c>
      <c r="I149" s="502"/>
      <c r="J149" s="502"/>
    </row>
    <row r="150" spans="1:10" s="40" customFormat="1">
      <c r="A150" s="494">
        <v>110</v>
      </c>
      <c r="B150" s="499">
        <v>500</v>
      </c>
      <c r="C150" s="529">
        <v>300</v>
      </c>
      <c r="D150" s="495">
        <v>100</v>
      </c>
      <c r="E150" s="495"/>
      <c r="F150" s="496"/>
      <c r="G150" s="497" t="s">
        <v>4094</v>
      </c>
      <c r="H150" s="420"/>
      <c r="I150" s="498"/>
      <c r="J150" s="498"/>
    </row>
    <row r="151" spans="1:10" s="40" customFormat="1">
      <c r="A151" s="494">
        <v>110</v>
      </c>
      <c r="B151" s="499">
        <v>500</v>
      </c>
      <c r="C151" s="529">
        <v>300</v>
      </c>
      <c r="D151" s="495">
        <v>800</v>
      </c>
      <c r="E151" s="495"/>
      <c r="F151" s="496"/>
      <c r="G151" s="497" t="s">
        <v>4030</v>
      </c>
      <c r="H151" s="420"/>
      <c r="I151" s="498"/>
      <c r="J151" s="498"/>
    </row>
    <row r="152" spans="1:10" s="40" customFormat="1">
      <c r="A152" s="494">
        <v>110</v>
      </c>
      <c r="B152" s="499">
        <v>500</v>
      </c>
      <c r="C152" s="529">
        <v>300</v>
      </c>
      <c r="D152" s="495">
        <v>900</v>
      </c>
      <c r="E152" s="495"/>
      <c r="F152" s="496"/>
      <c r="G152" s="525" t="s">
        <v>4044</v>
      </c>
      <c r="H152" s="420"/>
      <c r="I152" s="498"/>
      <c r="J152" s="498"/>
    </row>
    <row r="153" spans="1:10" s="40" customFormat="1">
      <c r="A153" s="494">
        <v>110</v>
      </c>
      <c r="B153" s="499">
        <v>600</v>
      </c>
      <c r="C153" s="499"/>
      <c r="D153" s="499"/>
      <c r="E153" s="499"/>
      <c r="F153" s="500"/>
      <c r="G153" s="501" t="s">
        <v>4095</v>
      </c>
      <c r="H153" s="420" t="s">
        <v>3651</v>
      </c>
      <c r="I153" s="502"/>
      <c r="J153" s="502"/>
    </row>
    <row r="154" spans="1:10" s="40" customFormat="1">
      <c r="A154" s="494">
        <v>110</v>
      </c>
      <c r="B154" s="499">
        <v>600</v>
      </c>
      <c r="C154" s="495">
        <v>100</v>
      </c>
      <c r="D154" s="495"/>
      <c r="E154" s="495"/>
      <c r="F154" s="496"/>
      <c r="G154" s="497" t="s">
        <v>115</v>
      </c>
      <c r="H154" s="420"/>
      <c r="I154" s="498"/>
      <c r="J154" s="498"/>
    </row>
    <row r="155" spans="1:10" s="40" customFormat="1">
      <c r="A155" s="494">
        <v>110</v>
      </c>
      <c r="B155" s="499">
        <v>600</v>
      </c>
      <c r="C155" s="495">
        <v>200</v>
      </c>
      <c r="D155" s="495"/>
      <c r="E155" s="495"/>
      <c r="F155" s="496"/>
      <c r="G155" s="497" t="s">
        <v>110</v>
      </c>
      <c r="H155" s="420"/>
      <c r="I155" s="498"/>
      <c r="J155" s="498"/>
    </row>
    <row r="156" spans="1:10" s="40" customFormat="1">
      <c r="A156" s="494">
        <v>110</v>
      </c>
      <c r="B156" s="499">
        <v>600</v>
      </c>
      <c r="C156" s="495">
        <v>300</v>
      </c>
      <c r="D156" s="495"/>
      <c r="E156" s="495"/>
      <c r="F156" s="496"/>
      <c r="G156" s="497" t="s">
        <v>4096</v>
      </c>
      <c r="H156" s="420"/>
      <c r="I156" s="498"/>
      <c r="J156" s="498"/>
    </row>
    <row r="157" spans="1:10" s="40" customFormat="1">
      <c r="A157" s="494">
        <v>110</v>
      </c>
      <c r="B157" s="499">
        <v>600</v>
      </c>
      <c r="C157" s="495">
        <v>400</v>
      </c>
      <c r="D157" s="495"/>
      <c r="E157" s="495"/>
      <c r="F157" s="496"/>
      <c r="G157" s="497" t="s">
        <v>4097</v>
      </c>
      <c r="H157" s="420"/>
      <c r="I157" s="498"/>
      <c r="J157" s="498"/>
    </row>
    <row r="158" spans="1:10" s="40" customFormat="1">
      <c r="A158" s="494">
        <v>110</v>
      </c>
      <c r="B158" s="499">
        <v>600</v>
      </c>
      <c r="C158" s="495">
        <v>500</v>
      </c>
      <c r="D158" s="495"/>
      <c r="E158" s="495"/>
      <c r="F158" s="496"/>
      <c r="G158" s="497" t="s">
        <v>4098</v>
      </c>
      <c r="H158" s="420"/>
      <c r="I158" s="498"/>
      <c r="J158" s="498"/>
    </row>
    <row r="159" spans="1:10" s="40" customFormat="1">
      <c r="A159" s="494">
        <v>110</v>
      </c>
      <c r="B159" s="499">
        <v>600</v>
      </c>
      <c r="C159" s="495">
        <v>600</v>
      </c>
      <c r="D159" s="495"/>
      <c r="E159" s="495"/>
      <c r="F159" s="496"/>
      <c r="G159" s="497" t="s">
        <v>4099</v>
      </c>
      <c r="H159" s="420"/>
      <c r="I159" s="498"/>
      <c r="J159" s="498"/>
    </row>
    <row r="160" spans="1:10" s="40" customFormat="1">
      <c r="A160" s="494">
        <v>110</v>
      </c>
      <c r="B160" s="499">
        <v>700</v>
      </c>
      <c r="C160" s="499"/>
      <c r="D160" s="499"/>
      <c r="E160" s="499"/>
      <c r="F160" s="500"/>
      <c r="G160" s="501" t="s">
        <v>4100</v>
      </c>
      <c r="H160" s="420"/>
      <c r="I160" s="502"/>
      <c r="J160" s="502"/>
    </row>
    <row r="161" spans="1:10" s="40" customFormat="1">
      <c r="A161" s="494">
        <v>110</v>
      </c>
      <c r="B161" s="499">
        <v>700</v>
      </c>
      <c r="C161" s="499">
        <v>100</v>
      </c>
      <c r="D161" s="499"/>
      <c r="E161" s="499"/>
      <c r="F161" s="500"/>
      <c r="G161" s="501" t="s">
        <v>4101</v>
      </c>
      <c r="H161" s="420" t="s">
        <v>3653</v>
      </c>
      <c r="I161" s="502"/>
      <c r="J161" s="502"/>
    </row>
    <row r="162" spans="1:10" s="40" customFormat="1">
      <c r="A162" s="494">
        <v>110</v>
      </c>
      <c r="B162" s="499">
        <v>700</v>
      </c>
      <c r="C162" s="499">
        <v>100</v>
      </c>
      <c r="D162" s="495">
        <v>100</v>
      </c>
      <c r="E162" s="495"/>
      <c r="F162" s="496"/>
      <c r="G162" s="497" t="s">
        <v>4102</v>
      </c>
      <c r="H162" s="420"/>
      <c r="I162" s="498">
        <v>1073752</v>
      </c>
      <c r="J162" s="498">
        <v>1572151</v>
      </c>
    </row>
    <row r="163" spans="1:10" s="40" customFormat="1">
      <c r="A163" s="494">
        <v>110</v>
      </c>
      <c r="B163" s="499">
        <v>700</v>
      </c>
      <c r="C163" s="499">
        <v>100</v>
      </c>
      <c r="D163" s="495">
        <v>200</v>
      </c>
      <c r="E163" s="495"/>
      <c r="F163" s="496"/>
      <c r="G163" s="497" t="s">
        <v>4103</v>
      </c>
      <c r="H163" s="420"/>
      <c r="I163" s="498">
        <v>92784</v>
      </c>
      <c r="J163" s="498">
        <v>82404</v>
      </c>
    </row>
    <row r="164" spans="1:10" s="40" customFormat="1">
      <c r="A164" s="494">
        <v>110</v>
      </c>
      <c r="B164" s="499">
        <v>700</v>
      </c>
      <c r="C164" s="499">
        <v>100</v>
      </c>
      <c r="D164" s="495">
        <v>300</v>
      </c>
      <c r="E164" s="495"/>
      <c r="F164" s="496"/>
      <c r="G164" s="497" t="s">
        <v>4104</v>
      </c>
      <c r="H164" s="420"/>
      <c r="I164" s="498"/>
      <c r="J164" s="498"/>
    </row>
    <row r="165" spans="1:10" s="40" customFormat="1">
      <c r="A165" s="494">
        <v>110</v>
      </c>
      <c r="B165" s="499">
        <v>700</v>
      </c>
      <c r="C165" s="499">
        <v>100</v>
      </c>
      <c r="D165" s="495">
        <v>800</v>
      </c>
      <c r="E165" s="495"/>
      <c r="F165" s="496"/>
      <c r="G165" s="497" t="s">
        <v>4030</v>
      </c>
      <c r="H165" s="420"/>
      <c r="I165" s="498">
        <v>119937</v>
      </c>
      <c r="J165" s="498">
        <v>29812</v>
      </c>
    </row>
    <row r="166" spans="1:10" s="40" customFormat="1">
      <c r="A166" s="494">
        <v>110</v>
      </c>
      <c r="B166" s="499">
        <v>700</v>
      </c>
      <c r="C166" s="499">
        <v>100</v>
      </c>
      <c r="D166" s="495">
        <v>900</v>
      </c>
      <c r="E166" s="495"/>
      <c r="F166" s="496"/>
      <c r="G166" s="525" t="s">
        <v>4044</v>
      </c>
      <c r="H166" s="420"/>
      <c r="I166" s="498"/>
      <c r="J166" s="498"/>
    </row>
    <row r="167" spans="1:10" s="40" customFormat="1">
      <c r="A167" s="494">
        <v>110</v>
      </c>
      <c r="B167" s="499">
        <v>700</v>
      </c>
      <c r="C167" s="495">
        <v>200</v>
      </c>
      <c r="D167" s="495"/>
      <c r="E167" s="495"/>
      <c r="F167" s="496"/>
      <c r="G167" s="497" t="s">
        <v>4105</v>
      </c>
      <c r="H167" s="420" t="s">
        <v>3655</v>
      </c>
      <c r="I167" s="498"/>
      <c r="J167" s="498"/>
    </row>
    <row r="168" spans="1:10" s="40" customFormat="1">
      <c r="A168" s="494">
        <v>110</v>
      </c>
      <c r="B168" s="499">
        <v>700</v>
      </c>
      <c r="C168" s="499">
        <v>300</v>
      </c>
      <c r="D168" s="499"/>
      <c r="E168" s="499"/>
      <c r="F168" s="500"/>
      <c r="G168" s="501" t="s">
        <v>4106</v>
      </c>
      <c r="H168" s="420" t="s">
        <v>3657</v>
      </c>
      <c r="I168" s="421"/>
      <c r="J168" s="421"/>
    </row>
    <row r="169" spans="1:10" s="40" customFormat="1">
      <c r="A169" s="494">
        <v>110</v>
      </c>
      <c r="B169" s="499">
        <v>700</v>
      </c>
      <c r="C169" s="499">
        <v>300</v>
      </c>
      <c r="D169" s="495">
        <v>100</v>
      </c>
      <c r="E169" s="495"/>
      <c r="F169" s="496"/>
      <c r="G169" s="497" t="s">
        <v>4107</v>
      </c>
      <c r="H169" s="420"/>
      <c r="I169" s="498"/>
      <c r="J169" s="498"/>
    </row>
    <row r="170" spans="1:10" s="40" customFormat="1">
      <c r="A170" s="494">
        <v>110</v>
      </c>
      <c r="B170" s="499">
        <v>700</v>
      </c>
      <c r="C170" s="499">
        <v>300</v>
      </c>
      <c r="D170" s="495">
        <v>200</v>
      </c>
      <c r="E170" s="495"/>
      <c r="F170" s="496"/>
      <c r="G170" s="497" t="s">
        <v>4108</v>
      </c>
      <c r="H170" s="420"/>
      <c r="I170" s="498">
        <v>529418</v>
      </c>
      <c r="J170" s="498">
        <v>22314</v>
      </c>
    </row>
    <row r="171" spans="1:10" s="40" customFormat="1">
      <c r="A171" s="494">
        <v>110</v>
      </c>
      <c r="B171" s="499">
        <v>700</v>
      </c>
      <c r="C171" s="499">
        <v>300</v>
      </c>
      <c r="D171" s="495">
        <v>800</v>
      </c>
      <c r="E171" s="495"/>
      <c r="F171" s="496"/>
      <c r="G171" s="497" t="s">
        <v>4030</v>
      </c>
      <c r="H171" s="420"/>
      <c r="I171" s="498">
        <v>56347</v>
      </c>
      <c r="J171" s="498">
        <v>99499</v>
      </c>
    </row>
    <row r="172" spans="1:10" s="40" customFormat="1">
      <c r="A172" s="494">
        <v>110</v>
      </c>
      <c r="B172" s="499">
        <v>700</v>
      </c>
      <c r="C172" s="499">
        <v>300</v>
      </c>
      <c r="D172" s="495">
        <v>900</v>
      </c>
      <c r="E172" s="495"/>
      <c r="F172" s="496"/>
      <c r="G172" s="525" t="s">
        <v>4044</v>
      </c>
      <c r="H172" s="420"/>
      <c r="I172" s="498"/>
      <c r="J172" s="498"/>
    </row>
    <row r="173" spans="1:10" s="40" customFormat="1">
      <c r="A173" s="494">
        <v>110</v>
      </c>
      <c r="B173" s="499">
        <v>700</v>
      </c>
      <c r="C173" s="495">
        <v>400</v>
      </c>
      <c r="D173" s="495"/>
      <c r="E173" s="495"/>
      <c r="F173" s="496"/>
      <c r="G173" s="497" t="s">
        <v>4109</v>
      </c>
      <c r="H173" s="420" t="s">
        <v>3659</v>
      </c>
      <c r="I173" s="498">
        <v>0</v>
      </c>
      <c r="J173" s="498">
        <v>38500</v>
      </c>
    </row>
    <row r="174" spans="1:10" s="40" customFormat="1">
      <c r="A174" s="494">
        <v>110</v>
      </c>
      <c r="B174" s="499">
        <v>700</v>
      </c>
      <c r="C174" s="499">
        <v>500</v>
      </c>
      <c r="D174" s="499"/>
      <c r="E174" s="499"/>
      <c r="F174" s="500"/>
      <c r="G174" s="501" t="s">
        <v>4110</v>
      </c>
      <c r="H174" s="420" t="s">
        <v>3661</v>
      </c>
      <c r="I174" s="421"/>
      <c r="J174" s="421"/>
    </row>
    <row r="175" spans="1:10" s="40" customFormat="1">
      <c r="A175" s="494"/>
      <c r="B175" s="499"/>
      <c r="C175" s="499"/>
      <c r="D175" s="499"/>
      <c r="E175" s="499"/>
      <c r="F175" s="500"/>
      <c r="G175" s="497" t="s">
        <v>4110</v>
      </c>
      <c r="H175" s="415" t="s">
        <v>3663</v>
      </c>
      <c r="I175" s="441"/>
      <c r="J175" s="441"/>
    </row>
    <row r="176" spans="1:10" s="40" customFormat="1">
      <c r="A176" s="494">
        <v>110</v>
      </c>
      <c r="B176" s="499">
        <v>700</v>
      </c>
      <c r="C176" s="499">
        <v>500</v>
      </c>
      <c r="D176" s="499">
        <v>100</v>
      </c>
      <c r="E176" s="499"/>
      <c r="F176" s="500"/>
      <c r="G176" s="501" t="s">
        <v>4111</v>
      </c>
      <c r="H176" s="415" t="s">
        <v>3663</v>
      </c>
      <c r="I176" s="530"/>
      <c r="J176" s="530"/>
    </row>
    <row r="177" spans="1:10" s="40" customFormat="1">
      <c r="A177" s="494">
        <v>110</v>
      </c>
      <c r="B177" s="499">
        <v>700</v>
      </c>
      <c r="C177" s="499">
        <v>500</v>
      </c>
      <c r="D177" s="499">
        <v>100</v>
      </c>
      <c r="E177" s="495">
        <v>10</v>
      </c>
      <c r="F177" s="496"/>
      <c r="G177" s="497" t="s">
        <v>4112</v>
      </c>
      <c r="H177" s="415" t="s">
        <v>3663</v>
      </c>
      <c r="I177" s="498">
        <v>4747</v>
      </c>
      <c r="J177" s="498">
        <v>19193</v>
      </c>
    </row>
    <row r="178" spans="1:10" s="40" customFormat="1">
      <c r="A178" s="494">
        <v>110</v>
      </c>
      <c r="B178" s="499">
        <v>700</v>
      </c>
      <c r="C178" s="499">
        <v>500</v>
      </c>
      <c r="D178" s="499">
        <v>100</v>
      </c>
      <c r="E178" s="495">
        <v>90</v>
      </c>
      <c r="F178" s="496"/>
      <c r="G178" s="497" t="s">
        <v>4113</v>
      </c>
      <c r="H178" s="415" t="s">
        <v>3663</v>
      </c>
      <c r="I178" s="498">
        <v>10673</v>
      </c>
      <c r="J178" s="498">
        <v>27848</v>
      </c>
    </row>
    <row r="179" spans="1:10" s="40" customFormat="1">
      <c r="A179" s="494">
        <v>110</v>
      </c>
      <c r="B179" s="499">
        <v>700</v>
      </c>
      <c r="C179" s="499">
        <v>500</v>
      </c>
      <c r="D179" s="495">
        <v>200</v>
      </c>
      <c r="E179" s="495"/>
      <c r="F179" s="496"/>
      <c r="G179" s="497" t="s">
        <v>4114</v>
      </c>
      <c r="H179" s="415" t="s">
        <v>3663</v>
      </c>
      <c r="I179" s="498"/>
      <c r="J179" s="498"/>
    </row>
    <row r="180" spans="1:10" s="40" customFormat="1">
      <c r="A180" s="494">
        <v>110</v>
      </c>
      <c r="B180" s="499">
        <v>700</v>
      </c>
      <c r="C180" s="499">
        <v>500</v>
      </c>
      <c r="D180" s="495">
        <v>300</v>
      </c>
      <c r="E180" s="495"/>
      <c r="F180" s="496"/>
      <c r="G180" s="497" t="s">
        <v>4115</v>
      </c>
      <c r="H180" s="415" t="s">
        <v>3663</v>
      </c>
      <c r="I180" s="498"/>
      <c r="J180" s="498">
        <v>303</v>
      </c>
    </row>
    <row r="181" spans="1:10" s="40" customFormat="1">
      <c r="A181" s="494">
        <v>110</v>
      </c>
      <c r="B181" s="499">
        <v>700</v>
      </c>
      <c r="C181" s="499">
        <v>500</v>
      </c>
      <c r="D181" s="495">
        <v>400</v>
      </c>
      <c r="E181" s="495"/>
      <c r="F181" s="496"/>
      <c r="G181" s="497" t="s">
        <v>3894</v>
      </c>
      <c r="H181" s="415" t="s">
        <v>3663</v>
      </c>
      <c r="I181" s="498"/>
      <c r="J181" s="498"/>
    </row>
    <row r="182" spans="1:10" s="40" customFormat="1">
      <c r="A182" s="494">
        <v>110</v>
      </c>
      <c r="B182" s="499">
        <v>700</v>
      </c>
      <c r="C182" s="499">
        <v>500</v>
      </c>
      <c r="D182" s="495">
        <v>900</v>
      </c>
      <c r="E182" s="495"/>
      <c r="F182" s="531"/>
      <c r="G182" s="497" t="s">
        <v>4110</v>
      </c>
      <c r="H182" s="415" t="s">
        <v>3663</v>
      </c>
      <c r="I182" s="498">
        <v>1941602</v>
      </c>
      <c r="J182" s="498">
        <v>1716662</v>
      </c>
    </row>
    <row r="183" spans="1:10" s="40" customFormat="1">
      <c r="A183" s="494">
        <v>110</v>
      </c>
      <c r="B183" s="499">
        <v>700</v>
      </c>
      <c r="C183" s="499">
        <v>500</v>
      </c>
      <c r="D183" s="495">
        <v>910</v>
      </c>
      <c r="E183" s="495"/>
      <c r="F183" s="531"/>
      <c r="G183" s="423" t="s">
        <v>4116</v>
      </c>
      <c r="H183" s="420" t="s">
        <v>4117</v>
      </c>
      <c r="I183" s="498"/>
      <c r="J183" s="498"/>
    </row>
    <row r="184" spans="1:10" s="40" customFormat="1" ht="25.5">
      <c r="A184" s="494">
        <v>110</v>
      </c>
      <c r="B184" s="499">
        <v>700</v>
      </c>
      <c r="C184" s="499">
        <v>600</v>
      </c>
      <c r="D184" s="529"/>
      <c r="E184" s="529"/>
      <c r="F184" s="532"/>
      <c r="G184" s="533" t="s">
        <v>4118</v>
      </c>
      <c r="H184" s="420" t="s">
        <v>4119</v>
      </c>
      <c r="I184" s="421"/>
      <c r="J184" s="421"/>
    </row>
    <row r="185" spans="1:10" s="40" customFormat="1" ht="25.5">
      <c r="A185" s="494">
        <v>110</v>
      </c>
      <c r="B185" s="499">
        <v>700</v>
      </c>
      <c r="C185" s="499">
        <v>600</v>
      </c>
      <c r="D185" s="534">
        <v>100</v>
      </c>
      <c r="E185" s="534"/>
      <c r="F185" s="535"/>
      <c r="G185" s="414" t="s">
        <v>4118</v>
      </c>
      <c r="H185" s="420" t="s">
        <v>4120</v>
      </c>
      <c r="I185" s="498"/>
      <c r="J185" s="498"/>
    </row>
    <row r="186" spans="1:10" s="40" customFormat="1">
      <c r="A186" s="494">
        <v>110</v>
      </c>
      <c r="B186" s="499">
        <v>700</v>
      </c>
      <c r="C186" s="499">
        <v>600</v>
      </c>
      <c r="D186" s="534">
        <v>200</v>
      </c>
      <c r="E186" s="534"/>
      <c r="F186" s="535"/>
      <c r="G186" s="414" t="s">
        <v>4121</v>
      </c>
      <c r="H186" s="420" t="s">
        <v>4122</v>
      </c>
      <c r="I186" s="498"/>
      <c r="J186" s="498"/>
    </row>
    <row r="187" spans="1:10" s="40" customFormat="1">
      <c r="A187" s="503">
        <v>120</v>
      </c>
      <c r="B187" s="504">
        <v>0</v>
      </c>
      <c r="C187" s="504">
        <v>0</v>
      </c>
      <c r="D187" s="504">
        <v>0</v>
      </c>
      <c r="E187" s="504">
        <v>0</v>
      </c>
      <c r="F187" s="505">
        <v>0</v>
      </c>
      <c r="G187" s="506" t="s">
        <v>4123</v>
      </c>
      <c r="H187" s="536"/>
      <c r="I187" s="441"/>
      <c r="J187" s="441"/>
    </row>
    <row r="188" spans="1:10" s="40" customFormat="1">
      <c r="A188" s="494">
        <v>120</v>
      </c>
      <c r="B188" s="499">
        <v>100</v>
      </c>
      <c r="C188" s="499"/>
      <c r="D188" s="499"/>
      <c r="E188" s="499"/>
      <c r="F188" s="500"/>
      <c r="G188" s="501" t="s">
        <v>4124</v>
      </c>
      <c r="H188" s="420" t="s">
        <v>4125</v>
      </c>
      <c r="I188" s="421"/>
      <c r="J188" s="421"/>
    </row>
    <row r="189" spans="1:10" s="40" customFormat="1">
      <c r="A189" s="494">
        <v>120</v>
      </c>
      <c r="B189" s="499">
        <v>100</v>
      </c>
      <c r="C189" s="495">
        <v>100</v>
      </c>
      <c r="D189" s="495"/>
      <c r="E189" s="495"/>
      <c r="F189" s="496"/>
      <c r="G189" s="497" t="s">
        <v>4126</v>
      </c>
      <c r="H189" s="431"/>
      <c r="I189" s="498"/>
      <c r="J189" s="498"/>
    </row>
    <row r="190" spans="1:10" s="409" customFormat="1">
      <c r="A190" s="494">
        <v>120</v>
      </c>
      <c r="B190" s="499">
        <v>100</v>
      </c>
      <c r="C190" s="495">
        <v>200</v>
      </c>
      <c r="D190" s="495"/>
      <c r="E190" s="495"/>
      <c r="F190" s="496"/>
      <c r="G190" s="497" t="s">
        <v>4127</v>
      </c>
      <c r="H190" s="431"/>
      <c r="I190" s="498"/>
      <c r="J190" s="498"/>
    </row>
    <row r="191" spans="1:10" s="40" customFormat="1">
      <c r="A191" s="494">
        <v>120</v>
      </c>
      <c r="B191" s="499">
        <v>100</v>
      </c>
      <c r="C191" s="495">
        <v>300</v>
      </c>
      <c r="D191" s="495"/>
      <c r="E191" s="495"/>
      <c r="F191" s="496"/>
      <c r="G191" s="497" t="s">
        <v>4128</v>
      </c>
      <c r="H191" s="431"/>
      <c r="I191" s="498"/>
      <c r="J191" s="498"/>
    </row>
    <row r="192" spans="1:10" s="40" customFormat="1">
      <c r="A192" s="494">
        <v>120</v>
      </c>
      <c r="B192" s="495">
        <v>200</v>
      </c>
      <c r="C192" s="495"/>
      <c r="D192" s="495"/>
      <c r="E192" s="495"/>
      <c r="F192" s="496"/>
      <c r="G192" s="497" t="s">
        <v>4129</v>
      </c>
      <c r="H192" s="420" t="s">
        <v>4130</v>
      </c>
      <c r="I192" s="498"/>
      <c r="J192" s="498"/>
    </row>
    <row r="193" spans="1:10" s="40" customFormat="1">
      <c r="A193" s="503">
        <v>130</v>
      </c>
      <c r="B193" s="504">
        <v>0</v>
      </c>
      <c r="C193" s="504">
        <v>0</v>
      </c>
      <c r="D193" s="504">
        <v>0</v>
      </c>
      <c r="E193" s="504">
        <v>0</v>
      </c>
      <c r="F193" s="505">
        <v>0</v>
      </c>
      <c r="G193" s="506" t="s">
        <v>4131</v>
      </c>
      <c r="H193" s="536"/>
      <c r="I193" s="441"/>
      <c r="J193" s="441"/>
    </row>
    <row r="194" spans="1:10" s="40" customFormat="1">
      <c r="A194" s="494">
        <v>130</v>
      </c>
      <c r="B194" s="499">
        <v>100</v>
      </c>
      <c r="C194" s="499"/>
      <c r="D194" s="499"/>
      <c r="E194" s="499"/>
      <c r="F194" s="500"/>
      <c r="G194" s="501" t="s">
        <v>4132</v>
      </c>
      <c r="H194" s="420" t="s">
        <v>4133</v>
      </c>
      <c r="I194" s="421"/>
      <c r="J194" s="421"/>
    </row>
    <row r="195" spans="1:10" s="40" customFormat="1">
      <c r="A195" s="494">
        <v>130</v>
      </c>
      <c r="B195" s="499">
        <v>100</v>
      </c>
      <c r="C195" s="499">
        <v>100</v>
      </c>
      <c r="D195" s="499"/>
      <c r="E195" s="499"/>
      <c r="F195" s="500"/>
      <c r="G195" s="501" t="s">
        <v>4134</v>
      </c>
      <c r="H195" s="537"/>
      <c r="I195" s="421"/>
      <c r="J195" s="421"/>
    </row>
    <row r="196" spans="1:10" s="409" customFormat="1">
      <c r="A196" s="494">
        <v>130</v>
      </c>
      <c r="B196" s="499">
        <v>100</v>
      </c>
      <c r="C196" s="499">
        <v>100</v>
      </c>
      <c r="D196" s="495">
        <v>100</v>
      </c>
      <c r="E196" s="495"/>
      <c r="F196" s="496"/>
      <c r="G196" s="497" t="s">
        <v>4135</v>
      </c>
      <c r="H196" s="420"/>
      <c r="I196" s="498">
        <v>20000</v>
      </c>
      <c r="J196" s="498">
        <v>20000</v>
      </c>
    </row>
    <row r="197" spans="1:10" s="40" customFormat="1">
      <c r="A197" s="494">
        <v>130</v>
      </c>
      <c r="B197" s="499">
        <v>100</v>
      </c>
      <c r="C197" s="499">
        <v>100</v>
      </c>
      <c r="D197" s="495">
        <v>200</v>
      </c>
      <c r="E197" s="495"/>
      <c r="F197" s="496"/>
      <c r="G197" s="497" t="s">
        <v>4136</v>
      </c>
      <c r="H197" s="420"/>
      <c r="I197" s="498"/>
      <c r="J197" s="498"/>
    </row>
    <row r="198" spans="1:10" s="40" customFormat="1">
      <c r="A198" s="494">
        <v>130</v>
      </c>
      <c r="B198" s="499">
        <v>100</v>
      </c>
      <c r="C198" s="499">
        <v>100</v>
      </c>
      <c r="D198" s="495">
        <v>300</v>
      </c>
      <c r="E198" s="495"/>
      <c r="F198" s="496"/>
      <c r="G198" s="497" t="s">
        <v>4137</v>
      </c>
      <c r="H198" s="420"/>
      <c r="I198" s="498"/>
      <c r="J198" s="498"/>
    </row>
    <row r="199" spans="1:10" s="40" customFormat="1">
      <c r="A199" s="494">
        <v>130</v>
      </c>
      <c r="B199" s="499">
        <v>100</v>
      </c>
      <c r="C199" s="499">
        <v>100</v>
      </c>
      <c r="D199" s="495">
        <v>400</v>
      </c>
      <c r="E199" s="495"/>
      <c r="F199" s="496"/>
      <c r="G199" s="497" t="s">
        <v>4138</v>
      </c>
      <c r="H199" s="420"/>
      <c r="I199" s="498"/>
      <c r="J199" s="498"/>
    </row>
    <row r="200" spans="1:10" s="40" customFormat="1">
      <c r="A200" s="494">
        <v>130</v>
      </c>
      <c r="B200" s="499">
        <v>100</v>
      </c>
      <c r="C200" s="499">
        <v>100</v>
      </c>
      <c r="D200" s="495">
        <v>500</v>
      </c>
      <c r="E200" s="495"/>
      <c r="F200" s="496"/>
      <c r="G200" s="497" t="s">
        <v>4139</v>
      </c>
      <c r="H200" s="420"/>
      <c r="I200" s="498"/>
      <c r="J200" s="498"/>
    </row>
    <row r="201" spans="1:10" s="40" customFormat="1">
      <c r="A201" s="494">
        <v>130</v>
      </c>
      <c r="B201" s="499">
        <v>100</v>
      </c>
      <c r="C201" s="499">
        <v>100</v>
      </c>
      <c r="D201" s="495">
        <v>600</v>
      </c>
      <c r="E201" s="495"/>
      <c r="F201" s="496"/>
      <c r="G201" s="497" t="s">
        <v>4140</v>
      </c>
      <c r="H201" s="420"/>
      <c r="I201" s="498"/>
      <c r="J201" s="498"/>
    </row>
    <row r="202" spans="1:10" s="40" customFormat="1">
      <c r="A202" s="494">
        <v>130</v>
      </c>
      <c r="B202" s="499">
        <v>100</v>
      </c>
      <c r="C202" s="499">
        <v>100</v>
      </c>
      <c r="D202" s="495">
        <v>700</v>
      </c>
      <c r="E202" s="495"/>
      <c r="F202" s="496"/>
      <c r="G202" s="497" t="s">
        <v>4141</v>
      </c>
      <c r="H202" s="420"/>
      <c r="I202" s="498"/>
      <c r="J202" s="498"/>
    </row>
    <row r="203" spans="1:10" s="40" customFormat="1">
      <c r="A203" s="494">
        <v>130</v>
      </c>
      <c r="B203" s="499">
        <v>100</v>
      </c>
      <c r="C203" s="499">
        <v>100</v>
      </c>
      <c r="D203" s="495">
        <v>800</v>
      </c>
      <c r="E203" s="495"/>
      <c r="F203" s="496"/>
      <c r="G203" s="497" t="s">
        <v>4142</v>
      </c>
      <c r="H203" s="420"/>
      <c r="I203" s="498"/>
      <c r="J203" s="498"/>
    </row>
    <row r="204" spans="1:10" s="40" customFormat="1">
      <c r="A204" s="494">
        <v>130</v>
      </c>
      <c r="B204" s="499">
        <v>100</v>
      </c>
      <c r="C204" s="499">
        <v>100</v>
      </c>
      <c r="D204" s="495">
        <v>900</v>
      </c>
      <c r="E204" s="495"/>
      <c r="F204" s="496"/>
      <c r="G204" s="497" t="s">
        <v>4143</v>
      </c>
      <c r="H204" s="420"/>
      <c r="I204" s="498"/>
      <c r="J204" s="498"/>
    </row>
    <row r="205" spans="1:10" s="40" customFormat="1">
      <c r="A205" s="494">
        <v>130</v>
      </c>
      <c r="B205" s="499">
        <v>100</v>
      </c>
      <c r="C205" s="499">
        <v>200</v>
      </c>
      <c r="D205" s="499"/>
      <c r="E205" s="499"/>
      <c r="F205" s="500"/>
      <c r="G205" s="501" t="s">
        <v>4144</v>
      </c>
      <c r="H205" s="537"/>
      <c r="I205" s="421"/>
      <c r="J205" s="421"/>
    </row>
    <row r="206" spans="1:10" s="40" customFormat="1">
      <c r="A206" s="494">
        <v>130</v>
      </c>
      <c r="B206" s="499">
        <v>100</v>
      </c>
      <c r="C206" s="499">
        <v>200</v>
      </c>
      <c r="D206" s="495">
        <v>100</v>
      </c>
      <c r="E206" s="495"/>
      <c r="F206" s="496"/>
      <c r="G206" s="497" t="s">
        <v>4145</v>
      </c>
      <c r="H206" s="420"/>
      <c r="I206" s="498">
        <v>13195</v>
      </c>
      <c r="J206" s="498">
        <v>8827</v>
      </c>
    </row>
    <row r="207" spans="1:10" s="40" customFormat="1">
      <c r="A207" s="494">
        <v>130</v>
      </c>
      <c r="B207" s="499">
        <v>100</v>
      </c>
      <c r="C207" s="499">
        <v>200</v>
      </c>
      <c r="D207" s="495">
        <v>200</v>
      </c>
      <c r="E207" s="495"/>
      <c r="F207" s="496"/>
      <c r="G207" s="497" t="s">
        <v>4146</v>
      </c>
      <c r="H207" s="420"/>
      <c r="I207" s="498">
        <v>4000</v>
      </c>
      <c r="J207" s="498">
        <v>4000</v>
      </c>
    </row>
    <row r="208" spans="1:10" s="40" customFormat="1">
      <c r="A208" s="494">
        <v>130</v>
      </c>
      <c r="B208" s="499">
        <v>100</v>
      </c>
      <c r="C208" s="499">
        <v>200</v>
      </c>
      <c r="D208" s="495">
        <v>300</v>
      </c>
      <c r="E208" s="495"/>
      <c r="F208" s="496"/>
      <c r="G208" s="497" t="s">
        <v>4147</v>
      </c>
      <c r="H208" s="420"/>
      <c r="I208" s="498">
        <v>5640</v>
      </c>
      <c r="J208" s="498">
        <v>5640</v>
      </c>
    </row>
    <row r="209" spans="1:10" s="40" customFormat="1">
      <c r="A209" s="494">
        <v>130</v>
      </c>
      <c r="B209" s="499">
        <v>100</v>
      </c>
      <c r="C209" s="499">
        <v>200</v>
      </c>
      <c r="D209" s="495">
        <v>400</v>
      </c>
      <c r="E209" s="495"/>
      <c r="F209" s="496"/>
      <c r="G209" s="497" t="s">
        <v>4148</v>
      </c>
      <c r="H209" s="420"/>
      <c r="I209" s="498"/>
      <c r="J209" s="498"/>
    </row>
    <row r="210" spans="1:10" s="40" customFormat="1">
      <c r="A210" s="494">
        <v>130</v>
      </c>
      <c r="B210" s="499">
        <v>100</v>
      </c>
      <c r="C210" s="499">
        <v>200</v>
      </c>
      <c r="D210" s="495">
        <v>500</v>
      </c>
      <c r="E210" s="495"/>
      <c r="F210" s="496"/>
      <c r="G210" s="497" t="s">
        <v>4149</v>
      </c>
      <c r="H210" s="420"/>
      <c r="I210" s="498"/>
      <c r="J210" s="498"/>
    </row>
    <row r="211" spans="1:10" s="40" customFormat="1">
      <c r="A211" s="494">
        <v>130</v>
      </c>
      <c r="B211" s="499">
        <v>100</v>
      </c>
      <c r="C211" s="499">
        <v>200</v>
      </c>
      <c r="D211" s="495">
        <v>600</v>
      </c>
      <c r="E211" s="495"/>
      <c r="F211" s="496"/>
      <c r="G211" s="497" t="s">
        <v>4150</v>
      </c>
      <c r="H211" s="420"/>
      <c r="I211" s="498"/>
      <c r="J211" s="498"/>
    </row>
    <row r="212" spans="1:10" s="40" customFormat="1">
      <c r="A212" s="494">
        <v>130</v>
      </c>
      <c r="B212" s="499">
        <v>100</v>
      </c>
      <c r="C212" s="499">
        <v>200</v>
      </c>
      <c r="D212" s="495">
        <v>700</v>
      </c>
      <c r="E212" s="495"/>
      <c r="F212" s="496"/>
      <c r="G212" s="497" t="s">
        <v>4151</v>
      </c>
      <c r="H212" s="420"/>
      <c r="I212" s="498"/>
      <c r="J212" s="498"/>
    </row>
    <row r="213" spans="1:10" s="40" customFormat="1">
      <c r="A213" s="494">
        <v>130</v>
      </c>
      <c r="B213" s="499">
        <v>100</v>
      </c>
      <c r="C213" s="499">
        <v>200</v>
      </c>
      <c r="D213" s="495">
        <v>800</v>
      </c>
      <c r="E213" s="495"/>
      <c r="F213" s="496"/>
      <c r="G213" s="497" t="s">
        <v>4152</v>
      </c>
      <c r="H213" s="420"/>
      <c r="I213" s="498"/>
      <c r="J213" s="498"/>
    </row>
    <row r="214" spans="1:10" s="40" customFormat="1">
      <c r="A214" s="494">
        <v>130</v>
      </c>
      <c r="B214" s="499">
        <v>200</v>
      </c>
      <c r="C214" s="499"/>
      <c r="D214" s="499"/>
      <c r="E214" s="499"/>
      <c r="F214" s="500"/>
      <c r="G214" s="501" t="s">
        <v>4153</v>
      </c>
      <c r="H214" s="420" t="s">
        <v>4154</v>
      </c>
      <c r="I214" s="421"/>
      <c r="J214" s="421"/>
    </row>
    <row r="215" spans="1:10" s="40" customFormat="1">
      <c r="A215" s="494">
        <v>130</v>
      </c>
      <c r="B215" s="499">
        <v>200</v>
      </c>
      <c r="C215" s="495">
        <v>100</v>
      </c>
      <c r="D215" s="495"/>
      <c r="E215" s="495"/>
      <c r="F215" s="496"/>
      <c r="G215" s="497" t="s">
        <v>4155</v>
      </c>
      <c r="H215" s="537"/>
      <c r="I215" s="498">
        <v>38955437</v>
      </c>
      <c r="J215" s="498">
        <v>32271024</v>
      </c>
    </row>
    <row r="216" spans="1:10" s="40" customFormat="1">
      <c r="A216" s="494">
        <v>130</v>
      </c>
      <c r="B216" s="499">
        <v>200</v>
      </c>
      <c r="C216" s="495">
        <v>110</v>
      </c>
      <c r="D216" s="495"/>
      <c r="E216" s="495"/>
      <c r="F216" s="496"/>
      <c r="G216" s="497" t="s">
        <v>4156</v>
      </c>
      <c r="H216" s="537"/>
      <c r="I216" s="498"/>
      <c r="J216" s="498"/>
    </row>
    <row r="217" spans="1:10" s="40" customFormat="1">
      <c r="A217" s="494">
        <v>130</v>
      </c>
      <c r="B217" s="499">
        <v>200</v>
      </c>
      <c r="C217" s="495">
        <v>200</v>
      </c>
      <c r="D217" s="495"/>
      <c r="E217" s="495"/>
      <c r="F217" s="496"/>
      <c r="G217" s="497" t="s">
        <v>4157</v>
      </c>
      <c r="H217" s="420"/>
      <c r="I217" s="498"/>
      <c r="J217" s="498"/>
    </row>
    <row r="218" spans="1:10" s="40" customFormat="1">
      <c r="A218" s="494">
        <v>130</v>
      </c>
      <c r="B218" s="495">
        <v>300</v>
      </c>
      <c r="C218" s="495"/>
      <c r="D218" s="495"/>
      <c r="E218" s="495"/>
      <c r="F218" s="496"/>
      <c r="G218" s="497" t="s">
        <v>4158</v>
      </c>
      <c r="H218" s="420" t="s">
        <v>4159</v>
      </c>
      <c r="I218" s="498"/>
      <c r="J218" s="498"/>
    </row>
    <row r="219" spans="1:10" s="40" customFormat="1">
      <c r="A219" s="494">
        <v>130</v>
      </c>
      <c r="B219" s="499">
        <v>400</v>
      </c>
      <c r="C219" s="499"/>
      <c r="D219" s="499"/>
      <c r="E219" s="499"/>
      <c r="F219" s="500"/>
      <c r="G219" s="501" t="s">
        <v>4160</v>
      </c>
      <c r="H219" s="420" t="s">
        <v>4161</v>
      </c>
      <c r="I219" s="421"/>
      <c r="J219" s="421"/>
    </row>
    <row r="220" spans="1:10" s="40" customFormat="1">
      <c r="A220" s="494">
        <v>130</v>
      </c>
      <c r="B220" s="499">
        <v>400</v>
      </c>
      <c r="C220" s="495">
        <v>100</v>
      </c>
      <c r="D220" s="495"/>
      <c r="E220" s="495"/>
      <c r="F220" s="496"/>
      <c r="G220" s="497" t="s">
        <v>4162</v>
      </c>
      <c r="H220" s="537"/>
      <c r="I220" s="498">
        <v>840</v>
      </c>
      <c r="J220" s="498">
        <v>3882</v>
      </c>
    </row>
    <row r="221" spans="1:10" s="40" customFormat="1">
      <c r="A221" s="494">
        <v>130</v>
      </c>
      <c r="B221" s="499">
        <v>400</v>
      </c>
      <c r="C221" s="495">
        <v>110</v>
      </c>
      <c r="D221" s="495"/>
      <c r="E221" s="495"/>
      <c r="F221" s="496"/>
      <c r="G221" s="497" t="s">
        <v>4163</v>
      </c>
      <c r="H221" s="537"/>
      <c r="I221" s="498"/>
      <c r="J221" s="498"/>
    </row>
    <row r="222" spans="1:10" s="40" customFormat="1">
      <c r="A222" s="494">
        <v>130</v>
      </c>
      <c r="B222" s="499">
        <v>400</v>
      </c>
      <c r="C222" s="495">
        <v>120</v>
      </c>
      <c r="D222" s="495"/>
      <c r="E222" s="495"/>
      <c r="F222" s="496"/>
      <c r="G222" s="497" t="s">
        <v>4164</v>
      </c>
      <c r="H222" s="537"/>
      <c r="I222" s="498"/>
      <c r="J222" s="498"/>
    </row>
    <row r="223" spans="1:10" s="40" customFormat="1">
      <c r="A223" s="494">
        <v>130</v>
      </c>
      <c r="B223" s="499">
        <v>400</v>
      </c>
      <c r="C223" s="495">
        <v>130</v>
      </c>
      <c r="D223" s="495"/>
      <c r="E223" s="495"/>
      <c r="F223" s="496"/>
      <c r="G223" s="497" t="s">
        <v>4165</v>
      </c>
      <c r="H223" s="537"/>
      <c r="I223" s="498"/>
      <c r="J223" s="498"/>
    </row>
    <row r="224" spans="1:10" s="40" customFormat="1">
      <c r="A224" s="494">
        <v>130</v>
      </c>
      <c r="B224" s="499">
        <v>400</v>
      </c>
      <c r="C224" s="495">
        <v>200</v>
      </c>
      <c r="D224" s="495"/>
      <c r="E224" s="495"/>
      <c r="F224" s="496"/>
      <c r="G224" s="497" t="s">
        <v>4166</v>
      </c>
      <c r="H224" s="420"/>
      <c r="I224" s="498"/>
      <c r="J224" s="498"/>
    </row>
    <row r="225" spans="1:10" s="40" customFormat="1">
      <c r="A225" s="494">
        <v>130</v>
      </c>
      <c r="B225" s="499">
        <v>400</v>
      </c>
      <c r="C225" s="495">
        <v>300</v>
      </c>
      <c r="D225" s="495"/>
      <c r="E225" s="495"/>
      <c r="F225" s="496"/>
      <c r="G225" s="497" t="s">
        <v>4167</v>
      </c>
      <c r="H225" s="420"/>
      <c r="I225" s="498"/>
      <c r="J225" s="498"/>
    </row>
    <row r="226" spans="1:10" s="40" customFormat="1">
      <c r="A226" s="494">
        <v>130</v>
      </c>
      <c r="B226" s="499">
        <v>400</v>
      </c>
      <c r="C226" s="495">
        <v>400</v>
      </c>
      <c r="D226" s="495"/>
      <c r="E226" s="495"/>
      <c r="F226" s="496"/>
      <c r="G226" s="497" t="s">
        <v>4168</v>
      </c>
      <c r="H226" s="420"/>
      <c r="I226" s="498"/>
      <c r="J226" s="498"/>
    </row>
    <row r="227" spans="1:10" s="40" customFormat="1">
      <c r="A227" s="494">
        <v>130</v>
      </c>
      <c r="B227" s="499">
        <v>900</v>
      </c>
      <c r="C227" s="499"/>
      <c r="D227" s="499"/>
      <c r="E227" s="499"/>
      <c r="F227" s="500"/>
      <c r="G227" s="501" t="s">
        <v>4169</v>
      </c>
      <c r="H227" s="420"/>
      <c r="I227" s="421"/>
      <c r="J227" s="421"/>
    </row>
    <row r="228" spans="1:10" s="40" customFormat="1">
      <c r="A228" s="494">
        <v>130</v>
      </c>
      <c r="B228" s="499">
        <v>900</v>
      </c>
      <c r="C228" s="495">
        <v>100</v>
      </c>
      <c r="D228" s="495"/>
      <c r="E228" s="495"/>
      <c r="F228" s="496"/>
      <c r="G228" s="497" t="s">
        <v>4170</v>
      </c>
      <c r="H228" s="420"/>
      <c r="I228" s="498"/>
      <c r="J228" s="498"/>
    </row>
    <row r="229" spans="1:10" s="40" customFormat="1">
      <c r="A229" s="494">
        <v>130</v>
      </c>
      <c r="B229" s="499">
        <v>900</v>
      </c>
      <c r="C229" s="495">
        <v>200</v>
      </c>
      <c r="D229" s="495"/>
      <c r="E229" s="495"/>
      <c r="F229" s="496"/>
      <c r="G229" s="497" t="s">
        <v>4171</v>
      </c>
      <c r="H229" s="420"/>
      <c r="I229" s="498"/>
      <c r="J229" s="498"/>
    </row>
    <row r="230" spans="1:10" s="40" customFormat="1">
      <c r="A230" s="494">
        <v>130</v>
      </c>
      <c r="B230" s="499">
        <v>900</v>
      </c>
      <c r="C230" s="495">
        <v>300</v>
      </c>
      <c r="D230" s="495"/>
      <c r="E230" s="495"/>
      <c r="F230" s="496"/>
      <c r="G230" s="497" t="s">
        <v>4172</v>
      </c>
      <c r="H230" s="420"/>
      <c r="I230" s="498"/>
      <c r="J230" s="498">
        <v>0</v>
      </c>
    </row>
    <row r="231" spans="1:10" s="40" customFormat="1">
      <c r="A231" s="494">
        <v>130</v>
      </c>
      <c r="B231" s="499">
        <v>900</v>
      </c>
      <c r="C231" s="495">
        <v>301</v>
      </c>
      <c r="D231" s="495"/>
      <c r="E231" s="495"/>
      <c r="F231" s="496"/>
      <c r="G231" s="497" t="s">
        <v>4173</v>
      </c>
      <c r="H231" s="420"/>
      <c r="I231" s="498"/>
      <c r="J231" s="498"/>
    </row>
    <row r="232" spans="1:10" s="40" customFormat="1">
      <c r="A232" s="494">
        <v>130</v>
      </c>
      <c r="B232" s="499">
        <v>900</v>
      </c>
      <c r="C232" s="495">
        <v>302</v>
      </c>
      <c r="D232" s="495"/>
      <c r="E232" s="495"/>
      <c r="F232" s="496"/>
      <c r="G232" s="497" t="s">
        <v>4174</v>
      </c>
      <c r="H232" s="420"/>
      <c r="I232" s="498"/>
      <c r="J232" s="498"/>
    </row>
    <row r="233" spans="1:10" s="40" customFormat="1">
      <c r="A233" s="494">
        <v>130</v>
      </c>
      <c r="B233" s="499">
        <v>900</v>
      </c>
      <c r="C233" s="495">
        <v>303</v>
      </c>
      <c r="D233" s="495"/>
      <c r="E233" s="495"/>
      <c r="F233" s="496"/>
      <c r="G233" s="497" t="s">
        <v>4175</v>
      </c>
      <c r="H233" s="420"/>
      <c r="I233" s="498"/>
      <c r="J233" s="498"/>
    </row>
    <row r="234" spans="1:10" s="40" customFormat="1">
      <c r="A234" s="494">
        <v>130</v>
      </c>
      <c r="B234" s="499">
        <v>900</v>
      </c>
      <c r="C234" s="495">
        <v>304</v>
      </c>
      <c r="D234" s="495"/>
      <c r="E234" s="495"/>
      <c r="F234" s="496"/>
      <c r="G234" s="497" t="s">
        <v>4176</v>
      </c>
      <c r="H234" s="420"/>
      <c r="I234" s="498"/>
      <c r="J234" s="498"/>
    </row>
    <row r="235" spans="1:10" s="40" customFormat="1">
      <c r="A235" s="494">
        <v>130</v>
      </c>
      <c r="B235" s="499">
        <v>900</v>
      </c>
      <c r="C235" s="495">
        <v>305</v>
      </c>
      <c r="D235" s="495"/>
      <c r="E235" s="495"/>
      <c r="F235" s="496"/>
      <c r="G235" s="497" t="s">
        <v>4177</v>
      </c>
      <c r="H235" s="420"/>
      <c r="I235" s="498"/>
      <c r="J235" s="498"/>
    </row>
    <row r="236" spans="1:10" s="40" customFormat="1">
      <c r="A236" s="494">
        <v>130</v>
      </c>
      <c r="B236" s="499">
        <v>900</v>
      </c>
      <c r="C236" s="495">
        <v>306</v>
      </c>
      <c r="D236" s="495"/>
      <c r="E236" s="495"/>
      <c r="F236" s="496"/>
      <c r="G236" s="497" t="s">
        <v>4178</v>
      </c>
      <c r="H236" s="420"/>
      <c r="I236" s="498"/>
      <c r="J236" s="498">
        <v>0</v>
      </c>
    </row>
    <row r="237" spans="1:10" s="40" customFormat="1">
      <c r="A237" s="494">
        <v>130</v>
      </c>
      <c r="B237" s="499">
        <v>900</v>
      </c>
      <c r="C237" s="495">
        <v>307</v>
      </c>
      <c r="D237" s="495"/>
      <c r="E237" s="495"/>
      <c r="F237" s="496"/>
      <c r="G237" s="497" t="s">
        <v>4179</v>
      </c>
      <c r="H237" s="420"/>
      <c r="I237" s="498"/>
      <c r="J237" s="498"/>
    </row>
    <row r="238" spans="1:10" s="40" customFormat="1">
      <c r="A238" s="494">
        <v>130</v>
      </c>
      <c r="B238" s="499">
        <v>900</v>
      </c>
      <c r="C238" s="495">
        <v>308</v>
      </c>
      <c r="D238" s="495"/>
      <c r="E238" s="495"/>
      <c r="F238" s="496"/>
      <c r="G238" s="497" t="s">
        <v>4180</v>
      </c>
      <c r="H238" s="420"/>
      <c r="I238" s="498"/>
      <c r="J238" s="498"/>
    </row>
    <row r="239" spans="1:10" s="40" customFormat="1">
      <c r="A239" s="494">
        <v>130</v>
      </c>
      <c r="B239" s="499">
        <v>900</v>
      </c>
      <c r="C239" s="495">
        <v>309</v>
      </c>
      <c r="D239" s="495"/>
      <c r="E239" s="495"/>
      <c r="F239" s="496"/>
      <c r="G239" s="497" t="s">
        <v>4181</v>
      </c>
      <c r="H239" s="420"/>
      <c r="I239" s="498"/>
      <c r="J239" s="498"/>
    </row>
    <row r="240" spans="1:10" s="40" customFormat="1">
      <c r="A240" s="503">
        <v>140</v>
      </c>
      <c r="B240" s="504">
        <v>0</v>
      </c>
      <c r="C240" s="504">
        <v>0</v>
      </c>
      <c r="D240" s="504">
        <v>0</v>
      </c>
      <c r="E240" s="504">
        <v>0</v>
      </c>
      <c r="F240" s="505">
        <v>0</v>
      </c>
      <c r="G240" s="506" t="s">
        <v>4182</v>
      </c>
      <c r="H240" s="536"/>
      <c r="I240" s="441"/>
      <c r="J240" s="441"/>
    </row>
    <row r="241" spans="1:12" s="40" customFormat="1">
      <c r="A241" s="494">
        <v>140</v>
      </c>
      <c r="B241" s="499">
        <v>100</v>
      </c>
      <c r="C241" s="499"/>
      <c r="D241" s="499"/>
      <c r="E241" s="499"/>
      <c r="F241" s="500"/>
      <c r="G241" s="501" t="s">
        <v>4183</v>
      </c>
      <c r="H241" s="420"/>
      <c r="I241" s="421"/>
      <c r="J241" s="421"/>
    </row>
    <row r="242" spans="1:12" s="40" customFormat="1">
      <c r="A242" s="494">
        <v>140</v>
      </c>
      <c r="B242" s="499">
        <v>100</v>
      </c>
      <c r="C242" s="495">
        <v>100</v>
      </c>
      <c r="D242" s="495"/>
      <c r="E242" s="495"/>
      <c r="F242" s="496"/>
      <c r="G242" s="497" t="s">
        <v>4184</v>
      </c>
      <c r="H242" s="420" t="s">
        <v>4185</v>
      </c>
      <c r="I242" s="463">
        <v>665</v>
      </c>
      <c r="J242" s="463">
        <v>3161</v>
      </c>
    </row>
    <row r="243" spans="1:12" s="409" customFormat="1">
      <c r="A243" s="494">
        <v>140</v>
      </c>
      <c r="B243" s="499">
        <v>100</v>
      </c>
      <c r="C243" s="495">
        <v>200</v>
      </c>
      <c r="D243" s="495"/>
      <c r="E243" s="495"/>
      <c r="F243" s="496"/>
      <c r="G243" s="497" t="s">
        <v>4186</v>
      </c>
      <c r="H243" s="420" t="s">
        <v>4187</v>
      </c>
      <c r="I243" s="463">
        <v>3463</v>
      </c>
      <c r="J243" s="463">
        <v>53716</v>
      </c>
    </row>
    <row r="244" spans="1:12" s="40" customFormat="1">
      <c r="A244" s="494">
        <v>140</v>
      </c>
      <c r="B244" s="499">
        <v>200</v>
      </c>
      <c r="C244" s="499"/>
      <c r="D244" s="499"/>
      <c r="E244" s="499"/>
      <c r="F244" s="500"/>
      <c r="G244" s="501" t="s">
        <v>4188</v>
      </c>
      <c r="H244" s="420"/>
      <c r="I244" s="421"/>
      <c r="J244" s="421"/>
    </row>
    <row r="245" spans="1:12" s="40" customFormat="1">
      <c r="A245" s="494">
        <v>140</v>
      </c>
      <c r="B245" s="499">
        <v>200</v>
      </c>
      <c r="C245" s="495">
        <v>100</v>
      </c>
      <c r="D245" s="495"/>
      <c r="E245" s="495"/>
      <c r="F245" s="496"/>
      <c r="G245" s="497" t="s">
        <v>4189</v>
      </c>
      <c r="H245" s="420" t="s">
        <v>4190</v>
      </c>
      <c r="I245" s="463">
        <v>30638</v>
      </c>
      <c r="J245" s="463">
        <v>40357</v>
      </c>
    </row>
    <row r="246" spans="1:12" s="40" customFormat="1">
      <c r="A246" s="494">
        <v>140</v>
      </c>
      <c r="B246" s="499">
        <v>200</v>
      </c>
      <c r="C246" s="495">
        <v>200</v>
      </c>
      <c r="D246" s="495"/>
      <c r="E246" s="495"/>
      <c r="F246" s="496"/>
      <c r="G246" s="497" t="s">
        <v>4191</v>
      </c>
      <c r="H246" s="420" t="s">
        <v>4192</v>
      </c>
      <c r="I246" s="463"/>
      <c r="J246" s="463"/>
    </row>
    <row r="247" spans="1:12" s="40" customFormat="1">
      <c r="A247" s="538">
        <v>150</v>
      </c>
      <c r="B247" s="539">
        <v>0</v>
      </c>
      <c r="C247" s="539">
        <v>0</v>
      </c>
      <c r="D247" s="539">
        <v>0</v>
      </c>
      <c r="E247" s="539">
        <v>0</v>
      </c>
      <c r="F247" s="540">
        <v>0</v>
      </c>
      <c r="G247" s="541" t="s">
        <v>4193</v>
      </c>
      <c r="H247" s="542" t="s">
        <v>4194</v>
      </c>
      <c r="I247" s="543">
        <f>SUM(I4:I246)</f>
        <v>164039938</v>
      </c>
      <c r="J247" s="543">
        <f>SUM(J4:J246)</f>
        <v>160236604</v>
      </c>
      <c r="L247" s="844"/>
    </row>
    <row r="248" spans="1:12" s="40" customFormat="1">
      <c r="A248" s="503">
        <v>195</v>
      </c>
      <c r="B248" s="504">
        <v>0</v>
      </c>
      <c r="C248" s="504">
        <v>0</v>
      </c>
      <c r="D248" s="504">
        <v>0</v>
      </c>
      <c r="E248" s="504">
        <v>0</v>
      </c>
      <c r="F248" s="505">
        <v>0</v>
      </c>
      <c r="G248" s="506" t="s">
        <v>3915</v>
      </c>
      <c r="H248" s="536"/>
      <c r="I248" s="441"/>
      <c r="J248" s="441"/>
    </row>
    <row r="249" spans="1:12" s="40" customFormat="1">
      <c r="A249" s="494">
        <v>195</v>
      </c>
      <c r="B249" s="495">
        <v>100</v>
      </c>
      <c r="C249" s="495"/>
      <c r="D249" s="495"/>
      <c r="E249" s="495"/>
      <c r="F249" s="496"/>
      <c r="G249" s="497" t="s">
        <v>3916</v>
      </c>
      <c r="H249" s="420" t="s">
        <v>4195</v>
      </c>
      <c r="I249" s="424">
        <v>116759</v>
      </c>
      <c r="J249" s="424">
        <v>20264</v>
      </c>
    </row>
    <row r="250" spans="1:12" s="409" customFormat="1">
      <c r="A250" s="494">
        <v>195</v>
      </c>
      <c r="B250" s="495">
        <v>200</v>
      </c>
      <c r="C250" s="495"/>
      <c r="D250" s="495"/>
      <c r="E250" s="495"/>
      <c r="F250" s="496"/>
      <c r="G250" s="497" t="s">
        <v>3918</v>
      </c>
      <c r="H250" s="420" t="s">
        <v>4196</v>
      </c>
      <c r="I250" s="424"/>
      <c r="J250" s="424"/>
    </row>
    <row r="251" spans="1:12" s="409" customFormat="1">
      <c r="A251" s="494">
        <v>195</v>
      </c>
      <c r="B251" s="495">
        <v>300</v>
      </c>
      <c r="C251" s="495"/>
      <c r="D251" s="495"/>
      <c r="E251" s="495"/>
      <c r="F251" s="496"/>
      <c r="G251" s="497" t="s">
        <v>3920</v>
      </c>
      <c r="H251" s="420" t="s">
        <v>4197</v>
      </c>
      <c r="I251" s="424"/>
      <c r="J251" s="424"/>
    </row>
    <row r="252" spans="1:12" s="40" customFormat="1">
      <c r="A252" s="494">
        <v>195</v>
      </c>
      <c r="B252" s="495">
        <v>350</v>
      </c>
      <c r="C252" s="495"/>
      <c r="D252" s="495"/>
      <c r="E252" s="495"/>
      <c r="F252" s="496"/>
      <c r="G252" s="497" t="s">
        <v>3922</v>
      </c>
      <c r="H252" s="420" t="s">
        <v>4198</v>
      </c>
      <c r="I252" s="424"/>
      <c r="J252" s="424"/>
    </row>
    <row r="253" spans="1:12" s="40" customFormat="1">
      <c r="A253" s="494">
        <v>195</v>
      </c>
      <c r="B253" s="499">
        <v>400</v>
      </c>
      <c r="C253" s="499"/>
      <c r="D253" s="499"/>
      <c r="E253" s="499"/>
      <c r="F253" s="500"/>
      <c r="G253" s="501" t="s">
        <v>3924</v>
      </c>
      <c r="H253" s="420" t="s">
        <v>4199</v>
      </c>
      <c r="I253" s="424"/>
      <c r="J253" s="424"/>
    </row>
    <row r="254" spans="1:12" s="40" customFormat="1">
      <c r="A254" s="494">
        <v>195</v>
      </c>
      <c r="B254" s="499">
        <v>400</v>
      </c>
      <c r="C254" s="495">
        <v>100</v>
      </c>
      <c r="D254" s="495"/>
      <c r="E254" s="495"/>
      <c r="F254" s="496"/>
      <c r="G254" s="497" t="s">
        <v>3926</v>
      </c>
      <c r="H254" s="420"/>
      <c r="I254" s="424"/>
      <c r="J254" s="424"/>
    </row>
    <row r="255" spans="1:12" s="40" customFormat="1">
      <c r="A255" s="494">
        <v>195</v>
      </c>
      <c r="B255" s="499">
        <v>400</v>
      </c>
      <c r="C255" s="495">
        <v>200</v>
      </c>
      <c r="D255" s="495"/>
      <c r="E255" s="495"/>
      <c r="F255" s="496"/>
      <c r="G255" s="497" t="s">
        <v>3894</v>
      </c>
      <c r="H255" s="420"/>
      <c r="I255" s="424"/>
      <c r="J255" s="424"/>
    </row>
    <row r="256" spans="1:12" s="40" customFormat="1">
      <c r="A256" s="494">
        <v>195</v>
      </c>
      <c r="B256" s="499">
        <v>400</v>
      </c>
      <c r="C256" s="495">
        <v>300</v>
      </c>
      <c r="D256" s="495"/>
      <c r="E256" s="495"/>
      <c r="F256" s="496"/>
      <c r="G256" s="497" t="s">
        <v>3927</v>
      </c>
      <c r="H256" s="420"/>
      <c r="I256" s="463">
        <v>2781638</v>
      </c>
      <c r="J256" s="463">
        <v>2782163</v>
      </c>
    </row>
    <row r="257" spans="1:10" s="40" customFormat="1">
      <c r="A257" s="494">
        <v>195</v>
      </c>
      <c r="B257" s="499">
        <v>400</v>
      </c>
      <c r="C257" s="495">
        <v>400</v>
      </c>
      <c r="D257" s="495"/>
      <c r="E257" s="495"/>
      <c r="F257" s="496"/>
      <c r="G257" s="497" t="s">
        <v>3928</v>
      </c>
      <c r="H257" s="420"/>
      <c r="I257" s="463"/>
      <c r="J257" s="463"/>
    </row>
    <row r="258" spans="1:10" s="40" customFormat="1">
      <c r="A258" s="494">
        <v>195</v>
      </c>
      <c r="B258" s="499">
        <v>400</v>
      </c>
      <c r="C258" s="495">
        <v>500</v>
      </c>
      <c r="D258" s="495"/>
      <c r="E258" s="495"/>
      <c r="F258" s="496"/>
      <c r="G258" s="497" t="s">
        <v>3929</v>
      </c>
      <c r="H258" s="420"/>
      <c r="I258" s="463"/>
      <c r="J258" s="463"/>
    </row>
    <row r="259" spans="1:10" s="40" customFormat="1">
      <c r="A259" s="494">
        <v>195</v>
      </c>
      <c r="B259" s="499">
        <v>400</v>
      </c>
      <c r="C259" s="495">
        <v>600</v>
      </c>
      <c r="D259" s="495"/>
      <c r="E259" s="495"/>
      <c r="F259" s="496"/>
      <c r="G259" s="497" t="s">
        <v>3930</v>
      </c>
      <c r="H259" s="420"/>
      <c r="I259" s="424"/>
      <c r="J259" s="424"/>
    </row>
    <row r="260" spans="1:10" s="40" customFormat="1" ht="13.5" thickBot="1">
      <c r="A260" s="544">
        <v>195</v>
      </c>
      <c r="B260" s="545">
        <v>400</v>
      </c>
      <c r="C260" s="546">
        <v>900</v>
      </c>
      <c r="D260" s="546"/>
      <c r="E260" s="546"/>
      <c r="F260" s="547"/>
      <c r="G260" s="548" t="s">
        <v>3931</v>
      </c>
      <c r="H260" s="549"/>
      <c r="I260" s="480"/>
      <c r="J260" s="480"/>
    </row>
    <row r="261" spans="1:10" s="40" customFormat="1">
      <c r="H261" s="482"/>
      <c r="I261" s="550">
        <f>I247</f>
        <v>164039938</v>
      </c>
      <c r="J261" s="550">
        <f>J247</f>
        <v>160236604</v>
      </c>
    </row>
    <row r="262" spans="1:10" s="40" customFormat="1">
      <c r="H262" s="482"/>
      <c r="I262" s="171">
        <f>+'Alimentazione SP P'!I315</f>
        <v>164039938</v>
      </c>
      <c r="J262" s="171">
        <f>+'Alimentazione SP P'!J315</f>
        <v>160236604</v>
      </c>
    </row>
    <row r="263" spans="1:10" s="40" customFormat="1">
      <c r="A263" s="487"/>
      <c r="B263" s="487"/>
      <c r="C263" s="487"/>
      <c r="D263" s="487"/>
      <c r="E263" s="487"/>
      <c r="F263" s="487"/>
      <c r="G263" s="487"/>
      <c r="H263" s="551"/>
      <c r="I263" s="552"/>
      <c r="J263" s="552"/>
    </row>
    <row r="264" spans="1:10" s="40" customFormat="1">
      <c r="A264" s="487"/>
      <c r="B264" s="487"/>
      <c r="C264" s="487"/>
      <c r="D264" s="487"/>
      <c r="E264" s="487"/>
      <c r="F264" s="487"/>
      <c r="G264" s="487"/>
      <c r="H264" s="551"/>
      <c r="I264" s="552"/>
      <c r="J264" s="552"/>
    </row>
    <row r="265" spans="1:10" s="40" customFormat="1">
      <c r="A265" s="487"/>
      <c r="B265" s="487"/>
      <c r="C265" s="487"/>
      <c r="D265" s="487"/>
      <c r="E265" s="487"/>
      <c r="F265" s="487"/>
      <c r="G265" s="487"/>
      <c r="H265" s="551"/>
      <c r="I265" s="552"/>
      <c r="J265" s="552"/>
    </row>
  </sheetData>
  <mergeCells count="5">
    <mergeCell ref="A1:F1"/>
    <mergeCell ref="G1:G2"/>
    <mergeCell ref="H1:H2"/>
    <mergeCell ref="I1:I2"/>
    <mergeCell ref="J1:J2"/>
  </mergeCells>
  <printOptions horizontalCentered="1"/>
  <pageMargins left="0.59055118110236227" right="0.59055118110236227" top="0.59055118110236227" bottom="0.59055118110236227" header="0" footer="0"/>
  <pageSetup paperSize="9" scale="59" fitToHeight="3" orientation="portrait" r:id="rId1"/>
  <rowBreaks count="1" manualBreakCount="1">
    <brk id="16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22"/>
  <sheetViews>
    <sheetView zoomScaleNormal="100" workbookViewId="0">
      <pane ySplit="2" topLeftCell="A281" activePane="bottomLeft" state="frozen"/>
      <selection activeCell="K101" sqref="K101"/>
      <selection pane="bottomLeft" activeCell="N311" sqref="N311"/>
    </sheetView>
  </sheetViews>
  <sheetFormatPr defaultColWidth="8.85546875" defaultRowHeight="12.75"/>
  <cols>
    <col min="1" max="4" width="4" style="484" bestFit="1" customWidth="1"/>
    <col min="5" max="5" width="3" style="484" bestFit="1" customWidth="1"/>
    <col min="6" max="6" width="3.5703125" style="484" customWidth="1"/>
    <col min="7" max="7" width="70.5703125" style="484" customWidth="1"/>
    <col min="8" max="8" width="13.28515625" style="485" customWidth="1"/>
    <col min="9" max="10" width="15.42578125" style="486" customWidth="1"/>
    <col min="11" max="11" width="4.140625" style="484" customWidth="1"/>
    <col min="12" max="12" width="8.85546875" style="484"/>
    <col min="13" max="13" width="11" style="484" bestFit="1" customWidth="1"/>
    <col min="14" max="14" width="14" style="484" bestFit="1" customWidth="1"/>
    <col min="15" max="15" width="14.5703125" style="484" bestFit="1" customWidth="1"/>
    <col min="16" max="16" width="13.5703125" style="484" bestFit="1" customWidth="1"/>
    <col min="17" max="16384" width="8.85546875" style="484"/>
  </cols>
  <sheetData>
    <row r="1" spans="1:15" s="40" customFormat="1" ht="20.25" customHeight="1" thickBot="1">
      <c r="A1" s="976" t="s">
        <v>120</v>
      </c>
      <c r="B1" s="977"/>
      <c r="C1" s="977"/>
      <c r="D1" s="977"/>
      <c r="E1" s="977"/>
      <c r="F1" s="978"/>
      <c r="G1" s="979" t="s">
        <v>3459</v>
      </c>
      <c r="H1" s="981" t="s">
        <v>3460</v>
      </c>
      <c r="I1" s="983" t="s">
        <v>3458</v>
      </c>
      <c r="J1" s="983" t="s">
        <v>3457</v>
      </c>
    </row>
    <row r="2" spans="1:15" s="40" customFormat="1" ht="20.25" customHeight="1" thickBot="1">
      <c r="A2" s="216" t="s">
        <v>123</v>
      </c>
      <c r="B2" s="216" t="s">
        <v>124</v>
      </c>
      <c r="C2" s="216" t="s">
        <v>125</v>
      </c>
      <c r="D2" s="216" t="s">
        <v>126</v>
      </c>
      <c r="E2" s="216" t="s">
        <v>127</v>
      </c>
      <c r="F2" s="216" t="s">
        <v>128</v>
      </c>
      <c r="G2" s="980"/>
      <c r="H2" s="982"/>
      <c r="I2" s="984"/>
      <c r="J2" s="984"/>
    </row>
    <row r="3" spans="1:15" s="409" customFormat="1" ht="13.5" thickBot="1">
      <c r="A3" s="402">
        <v>200</v>
      </c>
      <c r="B3" s="403">
        <v>0</v>
      </c>
      <c r="C3" s="403">
        <v>0</v>
      </c>
      <c r="D3" s="403">
        <v>0</v>
      </c>
      <c r="E3" s="404">
        <v>0</v>
      </c>
      <c r="F3" s="405">
        <v>0</v>
      </c>
      <c r="G3" s="406" t="s">
        <v>3461</v>
      </c>
      <c r="H3" s="407"/>
      <c r="I3" s="408"/>
      <c r="J3" s="408"/>
    </row>
    <row r="4" spans="1:15" s="40" customFormat="1">
      <c r="A4" s="410">
        <v>200</v>
      </c>
      <c r="B4" s="411">
        <v>100</v>
      </c>
      <c r="C4" s="412"/>
      <c r="D4" s="412"/>
      <c r="E4" s="412"/>
      <c r="F4" s="413"/>
      <c r="G4" s="414" t="s">
        <v>3462</v>
      </c>
      <c r="H4" s="415" t="s">
        <v>3463</v>
      </c>
      <c r="I4" s="416">
        <v>269581</v>
      </c>
      <c r="J4" s="416">
        <v>103489</v>
      </c>
    </row>
    <row r="5" spans="1:15" s="40" customFormat="1">
      <c r="A5" s="410">
        <v>200</v>
      </c>
      <c r="B5" s="417">
        <v>200</v>
      </c>
      <c r="C5" s="417"/>
      <c r="D5" s="417"/>
      <c r="E5" s="417"/>
      <c r="F5" s="418"/>
      <c r="G5" s="419" t="s">
        <v>3464</v>
      </c>
      <c r="H5" s="420"/>
      <c r="I5" s="421"/>
      <c r="J5" s="421"/>
    </row>
    <row r="6" spans="1:15" s="40" customFormat="1">
      <c r="A6" s="410">
        <v>200</v>
      </c>
      <c r="B6" s="417">
        <v>200</v>
      </c>
      <c r="C6" s="422">
        <v>100</v>
      </c>
      <c r="D6" s="417"/>
      <c r="E6" s="417"/>
      <c r="F6" s="418"/>
      <c r="G6" s="423" t="s">
        <v>3465</v>
      </c>
      <c r="H6" s="420" t="s">
        <v>3466</v>
      </c>
      <c r="I6" s="424">
        <v>2931371</v>
      </c>
      <c r="J6" s="424">
        <v>3116905</v>
      </c>
    </row>
    <row r="7" spans="1:15" s="40" customFormat="1">
      <c r="A7" s="410">
        <v>200</v>
      </c>
      <c r="B7" s="417">
        <v>200</v>
      </c>
      <c r="C7" s="417">
        <v>200</v>
      </c>
      <c r="D7" s="417"/>
      <c r="E7" s="417"/>
      <c r="F7" s="418"/>
      <c r="G7" s="419" t="s">
        <v>3467</v>
      </c>
      <c r="H7" s="420"/>
      <c r="I7" s="421"/>
      <c r="J7" s="421"/>
    </row>
    <row r="8" spans="1:15" s="40" customFormat="1">
      <c r="A8" s="410">
        <v>200</v>
      </c>
      <c r="B8" s="417">
        <v>200</v>
      </c>
      <c r="C8" s="417">
        <v>200</v>
      </c>
      <c r="D8" s="422">
        <v>100</v>
      </c>
      <c r="E8" s="422"/>
      <c r="F8" s="425"/>
      <c r="G8" s="423" t="s">
        <v>3468</v>
      </c>
      <c r="H8" s="420" t="s">
        <v>3469</v>
      </c>
      <c r="I8" s="416">
        <v>15039145</v>
      </c>
      <c r="J8" s="416">
        <v>15065649</v>
      </c>
    </row>
    <row r="9" spans="1:15" s="40" customFormat="1">
      <c r="A9" s="410">
        <v>200</v>
      </c>
      <c r="B9" s="417">
        <v>200</v>
      </c>
      <c r="C9" s="417">
        <v>200</v>
      </c>
      <c r="D9" s="422">
        <v>200</v>
      </c>
      <c r="E9" s="422"/>
      <c r="F9" s="425"/>
      <c r="G9" s="423" t="s">
        <v>3470</v>
      </c>
      <c r="H9" s="420" t="s">
        <v>3471</v>
      </c>
      <c r="I9" s="416">
        <v>539204</v>
      </c>
      <c r="J9" s="416">
        <v>780556</v>
      </c>
    </row>
    <row r="10" spans="1:15" s="40" customFormat="1">
      <c r="A10" s="410">
        <v>200</v>
      </c>
      <c r="B10" s="417">
        <v>200</v>
      </c>
      <c r="C10" s="417">
        <v>200</v>
      </c>
      <c r="D10" s="422">
        <v>300</v>
      </c>
      <c r="E10" s="422"/>
      <c r="F10" s="425"/>
      <c r="G10" s="423" t="s">
        <v>3472</v>
      </c>
      <c r="H10" s="420" t="s">
        <v>3473</v>
      </c>
      <c r="I10" s="416">
        <v>6898435</v>
      </c>
      <c r="J10" s="416">
        <v>6921068</v>
      </c>
    </row>
    <row r="11" spans="1:15" s="40" customFormat="1">
      <c r="A11" s="410">
        <v>200</v>
      </c>
      <c r="B11" s="417">
        <v>200</v>
      </c>
      <c r="C11" s="417">
        <v>300</v>
      </c>
      <c r="D11" s="417"/>
      <c r="E11" s="417"/>
      <c r="F11" s="418"/>
      <c r="G11" s="419" t="s">
        <v>3474</v>
      </c>
      <c r="H11" s="420" t="s">
        <v>3475</v>
      </c>
      <c r="I11" s="421"/>
      <c r="J11" s="421"/>
    </row>
    <row r="12" spans="1:15" s="40" customFormat="1">
      <c r="A12" s="410">
        <v>200</v>
      </c>
      <c r="B12" s="417">
        <v>200</v>
      </c>
      <c r="C12" s="417">
        <v>300</v>
      </c>
      <c r="D12" s="422">
        <v>100</v>
      </c>
      <c r="E12" s="422"/>
      <c r="F12" s="425"/>
      <c r="G12" s="426" t="s">
        <v>3476</v>
      </c>
      <c r="H12" s="420"/>
      <c r="I12" s="416">
        <v>26779353</v>
      </c>
      <c r="J12" s="416">
        <v>24825475</v>
      </c>
      <c r="N12" s="844">
        <f>SUM(I6:I18)+I26+I27</f>
        <v>54471506</v>
      </c>
      <c r="O12" s="844">
        <f>SUM(J6:J18)+J26+J27</f>
        <v>52982445</v>
      </c>
    </row>
    <row r="13" spans="1:15" s="40" customFormat="1">
      <c r="A13" s="410">
        <v>200</v>
      </c>
      <c r="B13" s="417">
        <v>200</v>
      </c>
      <c r="C13" s="417">
        <v>300</v>
      </c>
      <c r="D13" s="422">
        <v>200</v>
      </c>
      <c r="E13" s="422"/>
      <c r="F13" s="425"/>
      <c r="G13" s="426" t="s">
        <v>3477</v>
      </c>
      <c r="H13" s="420"/>
      <c r="I13" s="416"/>
      <c r="J13" s="416"/>
    </row>
    <row r="14" spans="1:15" s="40" customFormat="1">
      <c r="A14" s="410">
        <v>200</v>
      </c>
      <c r="B14" s="417">
        <v>200</v>
      </c>
      <c r="C14" s="417">
        <v>400</v>
      </c>
      <c r="D14" s="417"/>
      <c r="E14" s="417"/>
      <c r="F14" s="418"/>
      <c r="G14" s="419" t="s">
        <v>3478</v>
      </c>
      <c r="H14" s="420" t="s">
        <v>3479</v>
      </c>
      <c r="I14" s="421"/>
      <c r="J14" s="421"/>
      <c r="O14" s="903">
        <f>+N12-O12</f>
        <v>1489061</v>
      </c>
    </row>
    <row r="15" spans="1:15" s="40" customFormat="1">
      <c r="A15" s="410">
        <v>200</v>
      </c>
      <c r="B15" s="417">
        <v>200</v>
      </c>
      <c r="C15" s="417">
        <v>400</v>
      </c>
      <c r="D15" s="422">
        <v>100</v>
      </c>
      <c r="E15" s="422"/>
      <c r="F15" s="425"/>
      <c r="G15" s="426" t="s">
        <v>3480</v>
      </c>
      <c r="H15" s="420"/>
      <c r="I15" s="416"/>
      <c r="J15" s="416"/>
      <c r="O15" s="685">
        <f>-'Rendiconto finanziario'!C10</f>
        <v>2983004.72</v>
      </c>
    </row>
    <row r="16" spans="1:15" s="40" customFormat="1">
      <c r="A16" s="410">
        <v>200</v>
      </c>
      <c r="B16" s="417">
        <v>200</v>
      </c>
      <c r="C16" s="417">
        <v>400</v>
      </c>
      <c r="D16" s="422">
        <v>200</v>
      </c>
      <c r="E16" s="422"/>
      <c r="F16" s="425"/>
      <c r="G16" s="426" t="s">
        <v>3481</v>
      </c>
      <c r="H16" s="420"/>
      <c r="I16" s="416">
        <v>9172</v>
      </c>
      <c r="J16" s="416">
        <v>2042</v>
      </c>
    </row>
    <row r="17" spans="1:10" s="40" customFormat="1">
      <c r="A17" s="410">
        <v>200</v>
      </c>
      <c r="B17" s="417">
        <v>200</v>
      </c>
      <c r="C17" s="422">
        <v>500</v>
      </c>
      <c r="D17" s="422"/>
      <c r="E17" s="422"/>
      <c r="F17" s="425"/>
      <c r="G17" s="423" t="s">
        <v>3482</v>
      </c>
      <c r="H17" s="420" t="s">
        <v>3483</v>
      </c>
      <c r="I17" s="416">
        <v>84037</v>
      </c>
      <c r="J17" s="416">
        <v>57129</v>
      </c>
    </row>
    <row r="18" spans="1:10" s="40" customFormat="1">
      <c r="A18" s="410">
        <v>200</v>
      </c>
      <c r="B18" s="422">
        <v>300</v>
      </c>
      <c r="C18" s="422"/>
      <c r="D18" s="422"/>
      <c r="E18" s="422"/>
      <c r="F18" s="425"/>
      <c r="G18" s="423" t="s">
        <v>3484</v>
      </c>
      <c r="H18" s="420" t="s">
        <v>3485</v>
      </c>
      <c r="I18" s="416">
        <v>2190789</v>
      </c>
      <c r="J18" s="416">
        <v>2213621</v>
      </c>
    </row>
    <row r="19" spans="1:10" s="40" customFormat="1">
      <c r="A19" s="410">
        <v>200</v>
      </c>
      <c r="B19" s="417">
        <v>400</v>
      </c>
      <c r="C19" s="417"/>
      <c r="D19" s="417"/>
      <c r="E19" s="417"/>
      <c r="F19" s="418"/>
      <c r="G19" s="419" t="s">
        <v>3486</v>
      </c>
      <c r="H19" s="420"/>
      <c r="I19" s="421"/>
      <c r="J19" s="421"/>
    </row>
    <row r="20" spans="1:10" s="40" customFormat="1">
      <c r="A20" s="410">
        <v>200</v>
      </c>
      <c r="B20" s="417">
        <v>400</v>
      </c>
      <c r="C20" s="422">
        <v>100</v>
      </c>
      <c r="D20" s="422"/>
      <c r="E20" s="422"/>
      <c r="F20" s="425"/>
      <c r="G20" s="423" t="s">
        <v>3487</v>
      </c>
      <c r="H20" s="420" t="s">
        <v>3488</v>
      </c>
      <c r="I20" s="416"/>
      <c r="J20" s="416"/>
    </row>
    <row r="21" spans="1:10" s="40" customFormat="1">
      <c r="A21" s="410">
        <v>200</v>
      </c>
      <c r="B21" s="417">
        <v>400</v>
      </c>
      <c r="C21" s="422">
        <v>200</v>
      </c>
      <c r="D21" s="422"/>
      <c r="E21" s="422"/>
      <c r="F21" s="425"/>
      <c r="G21" s="423" t="s">
        <v>3489</v>
      </c>
      <c r="H21" s="420" t="s">
        <v>3490</v>
      </c>
      <c r="I21" s="416">
        <v>667664</v>
      </c>
      <c r="J21" s="416">
        <v>2682</v>
      </c>
    </row>
    <row r="22" spans="1:10" s="40" customFormat="1">
      <c r="A22" s="410">
        <v>200</v>
      </c>
      <c r="B22" s="417">
        <v>400</v>
      </c>
      <c r="C22" s="422">
        <v>300</v>
      </c>
      <c r="D22" s="422"/>
      <c r="E22" s="422"/>
      <c r="F22" s="425"/>
      <c r="G22" s="423" t="s">
        <v>3491</v>
      </c>
      <c r="H22" s="420" t="s">
        <v>3492</v>
      </c>
      <c r="I22" s="416">
        <v>367675</v>
      </c>
      <c r="J22" s="416"/>
    </row>
    <row r="23" spans="1:10" s="40" customFormat="1">
      <c r="A23" s="410">
        <v>200</v>
      </c>
      <c r="B23" s="417">
        <v>400</v>
      </c>
      <c r="C23" s="422">
        <v>400</v>
      </c>
      <c r="D23" s="422"/>
      <c r="E23" s="422"/>
      <c r="F23" s="425"/>
      <c r="G23" s="423" t="s">
        <v>3493</v>
      </c>
      <c r="H23" s="420" t="s">
        <v>3494</v>
      </c>
      <c r="I23" s="416">
        <v>85387</v>
      </c>
      <c r="J23" s="416">
        <v>236301</v>
      </c>
    </row>
    <row r="24" spans="1:10" s="40" customFormat="1">
      <c r="A24" s="410">
        <v>200</v>
      </c>
      <c r="B24" s="417">
        <v>400</v>
      </c>
      <c r="C24" s="422">
        <v>500</v>
      </c>
      <c r="D24" s="422"/>
      <c r="E24" s="422"/>
      <c r="F24" s="425"/>
      <c r="G24" s="423" t="s">
        <v>3495</v>
      </c>
      <c r="H24" s="420" t="s">
        <v>3496</v>
      </c>
      <c r="I24" s="416">
        <v>1984861</v>
      </c>
      <c r="J24" s="416">
        <v>2223207</v>
      </c>
    </row>
    <row r="25" spans="1:10" s="40" customFormat="1">
      <c r="A25" s="410">
        <v>200</v>
      </c>
      <c r="B25" s="417">
        <v>500</v>
      </c>
      <c r="C25" s="417"/>
      <c r="D25" s="417"/>
      <c r="E25" s="417"/>
      <c r="F25" s="418"/>
      <c r="G25" s="419" t="s">
        <v>3497</v>
      </c>
      <c r="H25" s="420"/>
      <c r="I25" s="421"/>
      <c r="J25" s="421"/>
    </row>
    <row r="26" spans="1:10" s="40" customFormat="1">
      <c r="A26" s="410">
        <v>200</v>
      </c>
      <c r="B26" s="417">
        <v>500</v>
      </c>
      <c r="C26" s="422">
        <v>100</v>
      </c>
      <c r="D26" s="422"/>
      <c r="E26" s="422"/>
      <c r="F26" s="425"/>
      <c r="G26" s="423" t="s">
        <v>3498</v>
      </c>
      <c r="H26" s="420" t="s">
        <v>3499</v>
      </c>
      <c r="I26" s="416"/>
      <c r="J26" s="416"/>
    </row>
    <row r="27" spans="1:10" s="40" customFormat="1">
      <c r="A27" s="410">
        <v>200</v>
      </c>
      <c r="B27" s="417">
        <v>500</v>
      </c>
      <c r="C27" s="422">
        <v>200</v>
      </c>
      <c r="D27" s="422"/>
      <c r="E27" s="422"/>
      <c r="F27" s="425"/>
      <c r="G27" s="423" t="s">
        <v>3500</v>
      </c>
      <c r="H27" s="420" t="s">
        <v>3501</v>
      </c>
      <c r="I27" s="416"/>
      <c r="J27" s="416"/>
    </row>
    <row r="28" spans="1:10" s="40" customFormat="1">
      <c r="A28" s="410">
        <v>200</v>
      </c>
      <c r="B28" s="417">
        <v>500</v>
      </c>
      <c r="C28" s="422">
        <v>300</v>
      </c>
      <c r="D28" s="422"/>
      <c r="E28" s="422"/>
      <c r="F28" s="425"/>
      <c r="G28" s="423" t="s">
        <v>3502</v>
      </c>
      <c r="H28" s="420" t="s">
        <v>3503</v>
      </c>
      <c r="I28" s="416"/>
      <c r="J28" s="416"/>
    </row>
    <row r="29" spans="1:10" s="40" customFormat="1">
      <c r="A29" s="410">
        <v>200</v>
      </c>
      <c r="B29" s="422">
        <v>600</v>
      </c>
      <c r="C29" s="422"/>
      <c r="D29" s="422"/>
      <c r="E29" s="422"/>
      <c r="F29" s="425"/>
      <c r="G29" s="423" t="s">
        <v>3504</v>
      </c>
      <c r="H29" s="420" t="s">
        <v>3505</v>
      </c>
      <c r="I29" s="416"/>
      <c r="J29" s="416"/>
    </row>
    <row r="30" spans="1:10" s="40" customFormat="1">
      <c r="A30" s="427">
        <v>200</v>
      </c>
      <c r="B30" s="428">
        <v>700</v>
      </c>
      <c r="C30" s="428"/>
      <c r="D30" s="428"/>
      <c r="E30" s="428"/>
      <c r="F30" s="429"/>
      <c r="G30" s="430" t="s">
        <v>3506</v>
      </c>
      <c r="H30" s="431" t="s">
        <v>3507</v>
      </c>
      <c r="I30" s="416">
        <v>147116</v>
      </c>
      <c r="J30" s="416">
        <v>12415</v>
      </c>
    </row>
    <row r="31" spans="1:10" s="409" customFormat="1">
      <c r="A31" s="432">
        <v>210</v>
      </c>
      <c r="B31" s="433">
        <v>0</v>
      </c>
      <c r="C31" s="433">
        <v>0</v>
      </c>
      <c r="D31" s="433">
        <v>0</v>
      </c>
      <c r="E31" s="433">
        <v>0</v>
      </c>
      <c r="F31" s="434">
        <v>0</v>
      </c>
      <c r="G31" s="435" t="s">
        <v>3508</v>
      </c>
      <c r="H31" s="436"/>
      <c r="I31" s="437"/>
      <c r="J31" s="437"/>
    </row>
    <row r="32" spans="1:10" s="40" customFormat="1">
      <c r="A32" s="410">
        <v>210</v>
      </c>
      <c r="B32" s="417">
        <v>100</v>
      </c>
      <c r="C32" s="417"/>
      <c r="D32" s="417"/>
      <c r="E32" s="417"/>
      <c r="F32" s="418"/>
      <c r="G32" s="438" t="s">
        <v>3509</v>
      </c>
      <c r="H32" s="420"/>
      <c r="I32" s="421"/>
      <c r="J32" s="421"/>
    </row>
    <row r="33" spans="1:10" s="40" customFormat="1">
      <c r="A33" s="410">
        <v>210</v>
      </c>
      <c r="B33" s="417">
        <v>100</v>
      </c>
      <c r="C33" s="422">
        <v>100</v>
      </c>
      <c r="D33" s="422"/>
      <c r="E33" s="422"/>
      <c r="F33" s="425"/>
      <c r="G33" s="426" t="s">
        <v>3510</v>
      </c>
      <c r="H33" s="420" t="s">
        <v>3511</v>
      </c>
      <c r="I33" s="416"/>
      <c r="J33" s="416"/>
    </row>
    <row r="34" spans="1:10" s="40" customFormat="1">
      <c r="A34" s="410">
        <v>210</v>
      </c>
      <c r="B34" s="417">
        <v>100</v>
      </c>
      <c r="C34" s="422">
        <v>200</v>
      </c>
      <c r="D34" s="422"/>
      <c r="E34" s="422"/>
      <c r="F34" s="425"/>
      <c r="G34" s="426" t="s">
        <v>3512</v>
      </c>
      <c r="H34" s="420" t="s">
        <v>3513</v>
      </c>
      <c r="I34" s="416"/>
      <c r="J34" s="416"/>
    </row>
    <row r="35" spans="1:10" s="40" customFormat="1" ht="25.5">
      <c r="A35" s="410">
        <v>210</v>
      </c>
      <c r="B35" s="417">
        <v>100</v>
      </c>
      <c r="C35" s="422">
        <v>300</v>
      </c>
      <c r="D35" s="422"/>
      <c r="E35" s="422"/>
      <c r="F35" s="425"/>
      <c r="G35" s="426" t="s">
        <v>3514</v>
      </c>
      <c r="H35" s="420" t="s">
        <v>3515</v>
      </c>
      <c r="I35" s="416"/>
      <c r="J35" s="416"/>
    </row>
    <row r="36" spans="1:10" s="40" customFormat="1" ht="25.5">
      <c r="A36" s="410">
        <v>210</v>
      </c>
      <c r="B36" s="417">
        <v>100</v>
      </c>
      <c r="C36" s="422">
        <v>400</v>
      </c>
      <c r="D36" s="422"/>
      <c r="E36" s="422"/>
      <c r="F36" s="425"/>
      <c r="G36" s="426" t="s">
        <v>3516</v>
      </c>
      <c r="H36" s="420" t="s">
        <v>3517</v>
      </c>
      <c r="I36" s="416"/>
      <c r="J36" s="416"/>
    </row>
    <row r="37" spans="1:10" s="40" customFormat="1">
      <c r="A37" s="410">
        <v>210</v>
      </c>
      <c r="B37" s="417">
        <v>100</v>
      </c>
      <c r="C37" s="422">
        <v>500</v>
      </c>
      <c r="D37" s="422"/>
      <c r="E37" s="422"/>
      <c r="F37" s="425"/>
      <c r="G37" s="426" t="s">
        <v>3518</v>
      </c>
      <c r="H37" s="420" t="s">
        <v>3519</v>
      </c>
      <c r="I37" s="416">
        <v>261893</v>
      </c>
      <c r="J37" s="416">
        <v>246525</v>
      </c>
    </row>
    <row r="38" spans="1:10" s="40" customFormat="1">
      <c r="A38" s="410">
        <v>210</v>
      </c>
      <c r="B38" s="417">
        <v>100</v>
      </c>
      <c r="C38" s="422">
        <v>600</v>
      </c>
      <c r="D38" s="422"/>
      <c r="E38" s="422"/>
      <c r="F38" s="425"/>
      <c r="G38" s="426" t="s">
        <v>3520</v>
      </c>
      <c r="H38" s="420" t="s">
        <v>3521</v>
      </c>
      <c r="I38" s="416">
        <v>39838</v>
      </c>
      <c r="J38" s="416">
        <v>39838</v>
      </c>
    </row>
    <row r="39" spans="1:10" s="40" customFormat="1">
      <c r="A39" s="410">
        <v>210</v>
      </c>
      <c r="B39" s="417">
        <v>100</v>
      </c>
      <c r="C39" s="422">
        <v>700</v>
      </c>
      <c r="D39" s="422"/>
      <c r="E39" s="422"/>
      <c r="F39" s="425"/>
      <c r="G39" s="426" t="s">
        <v>3522</v>
      </c>
      <c r="H39" s="420" t="s">
        <v>3523</v>
      </c>
      <c r="I39" s="416"/>
      <c r="J39" s="416"/>
    </row>
    <row r="40" spans="1:10" s="40" customFormat="1">
      <c r="A40" s="410">
        <v>210</v>
      </c>
      <c r="B40" s="417">
        <v>100</v>
      </c>
      <c r="C40" s="422">
        <v>800</v>
      </c>
      <c r="D40" s="422"/>
      <c r="E40" s="422"/>
      <c r="F40" s="425"/>
      <c r="G40" s="426" t="s">
        <v>3524</v>
      </c>
      <c r="H40" s="420" t="s">
        <v>3525</v>
      </c>
      <c r="I40" s="416"/>
      <c r="J40" s="416"/>
    </row>
    <row r="41" spans="1:10" s="40" customFormat="1">
      <c r="A41" s="410">
        <v>210</v>
      </c>
      <c r="B41" s="417">
        <v>200</v>
      </c>
      <c r="C41" s="417"/>
      <c r="D41" s="417"/>
      <c r="E41" s="417"/>
      <c r="F41" s="418"/>
      <c r="G41" s="438" t="s">
        <v>3526</v>
      </c>
      <c r="H41" s="439"/>
      <c r="I41" s="440"/>
      <c r="J41" s="440"/>
    </row>
    <row r="42" spans="1:10" s="40" customFormat="1">
      <c r="A42" s="410">
        <v>210</v>
      </c>
      <c r="B42" s="417">
        <v>200</v>
      </c>
      <c r="C42" s="422">
        <v>100</v>
      </c>
      <c r="D42" s="422"/>
      <c r="E42" s="422"/>
      <c r="F42" s="425"/>
      <c r="G42" s="426" t="s">
        <v>3527</v>
      </c>
      <c r="H42" s="420" t="s">
        <v>3528</v>
      </c>
      <c r="I42" s="416">
        <v>265312</v>
      </c>
      <c r="J42" s="416">
        <v>832191</v>
      </c>
    </row>
    <row r="43" spans="1:10" s="40" customFormat="1">
      <c r="A43" s="410">
        <v>210</v>
      </c>
      <c r="B43" s="417">
        <v>200</v>
      </c>
      <c r="C43" s="422">
        <v>200</v>
      </c>
      <c r="D43" s="422"/>
      <c r="E43" s="422"/>
      <c r="F43" s="425"/>
      <c r="G43" s="426" t="s">
        <v>3529</v>
      </c>
      <c r="H43" s="420" t="s">
        <v>3530</v>
      </c>
      <c r="I43" s="416">
        <v>13210187</v>
      </c>
      <c r="J43" s="416">
        <v>12188273</v>
      </c>
    </row>
    <row r="44" spans="1:10" s="40" customFormat="1">
      <c r="A44" s="410">
        <v>210</v>
      </c>
      <c r="B44" s="417">
        <v>200</v>
      </c>
      <c r="C44" s="422">
        <v>300</v>
      </c>
      <c r="D44" s="422"/>
      <c r="E44" s="422"/>
      <c r="F44" s="425"/>
      <c r="G44" s="426" t="s">
        <v>3531</v>
      </c>
      <c r="H44" s="420" t="s">
        <v>3532</v>
      </c>
      <c r="I44" s="416">
        <v>3142454</v>
      </c>
      <c r="J44" s="416">
        <v>3142227</v>
      </c>
    </row>
    <row r="45" spans="1:10" s="40" customFormat="1">
      <c r="A45" s="410">
        <v>210</v>
      </c>
      <c r="B45" s="417">
        <v>200</v>
      </c>
      <c r="C45" s="422">
        <v>400</v>
      </c>
      <c r="D45" s="422"/>
      <c r="E45" s="422"/>
      <c r="F45" s="425"/>
      <c r="G45" s="426" t="s">
        <v>3533</v>
      </c>
      <c r="H45" s="420" t="s">
        <v>3534</v>
      </c>
      <c r="I45" s="416">
        <v>27380922</v>
      </c>
      <c r="J45" s="416">
        <v>25805242</v>
      </c>
    </row>
    <row r="46" spans="1:10" s="40" customFormat="1">
      <c r="A46" s="410">
        <v>210</v>
      </c>
      <c r="B46" s="417">
        <v>200</v>
      </c>
      <c r="C46" s="422">
        <v>500</v>
      </c>
      <c r="D46" s="422"/>
      <c r="E46" s="422"/>
      <c r="F46" s="425"/>
      <c r="G46" s="426" t="s">
        <v>3535</v>
      </c>
      <c r="H46" s="420" t="s">
        <v>3536</v>
      </c>
      <c r="I46" s="416">
        <v>2324182</v>
      </c>
      <c r="J46" s="416">
        <v>2228054</v>
      </c>
    </row>
    <row r="47" spans="1:10" s="40" customFormat="1">
      <c r="A47" s="410">
        <v>210</v>
      </c>
      <c r="B47" s="417">
        <v>200</v>
      </c>
      <c r="C47" s="422">
        <v>600</v>
      </c>
      <c r="D47" s="422"/>
      <c r="E47" s="422"/>
      <c r="F47" s="425"/>
      <c r="G47" s="426" t="s">
        <v>3537</v>
      </c>
      <c r="H47" s="420" t="s">
        <v>3538</v>
      </c>
      <c r="I47" s="416">
        <v>129025</v>
      </c>
      <c r="J47" s="416">
        <v>149878</v>
      </c>
    </row>
    <row r="48" spans="1:10" s="40" customFormat="1">
      <c r="A48" s="410">
        <v>210</v>
      </c>
      <c r="B48" s="417">
        <v>200</v>
      </c>
      <c r="C48" s="422">
        <v>700</v>
      </c>
      <c r="D48" s="422"/>
      <c r="E48" s="422"/>
      <c r="F48" s="425"/>
      <c r="G48" s="426" t="s">
        <v>3539</v>
      </c>
      <c r="H48" s="420" t="s">
        <v>3540</v>
      </c>
      <c r="I48" s="416">
        <v>5135017</v>
      </c>
      <c r="J48" s="416">
        <v>4874380</v>
      </c>
    </row>
    <row r="49" spans="1:15" s="40" customFormat="1">
      <c r="A49" s="410">
        <v>210</v>
      </c>
      <c r="B49" s="417">
        <v>300</v>
      </c>
      <c r="C49" s="417"/>
      <c r="D49" s="417"/>
      <c r="E49" s="417"/>
      <c r="F49" s="418"/>
      <c r="G49" s="438" t="s">
        <v>3541</v>
      </c>
      <c r="H49" s="420"/>
      <c r="I49" s="421"/>
      <c r="J49" s="421"/>
    </row>
    <row r="50" spans="1:15" s="40" customFormat="1">
      <c r="A50" s="410">
        <v>210</v>
      </c>
      <c r="B50" s="417">
        <v>300</v>
      </c>
      <c r="C50" s="422">
        <v>100</v>
      </c>
      <c r="D50" s="422"/>
      <c r="E50" s="422"/>
      <c r="F50" s="425"/>
      <c r="G50" s="426" t="s">
        <v>3542</v>
      </c>
      <c r="H50" s="420" t="s">
        <v>3543</v>
      </c>
      <c r="I50" s="416"/>
      <c r="J50" s="416"/>
    </row>
    <row r="51" spans="1:15" s="40" customFormat="1">
      <c r="A51" s="410">
        <v>210</v>
      </c>
      <c r="B51" s="417">
        <v>300</v>
      </c>
      <c r="C51" s="422">
        <v>200</v>
      </c>
      <c r="D51" s="422"/>
      <c r="E51" s="422"/>
      <c r="F51" s="425"/>
      <c r="G51" s="426" t="s">
        <v>3544</v>
      </c>
      <c r="H51" s="420" t="s">
        <v>3545</v>
      </c>
      <c r="I51" s="416"/>
      <c r="J51" s="416"/>
    </row>
    <row r="52" spans="1:15" s="40" customFormat="1" ht="25.5">
      <c r="A52" s="410">
        <v>210</v>
      </c>
      <c r="B52" s="417">
        <v>300</v>
      </c>
      <c r="C52" s="422">
        <v>300</v>
      </c>
      <c r="D52" s="422"/>
      <c r="E52" s="422"/>
      <c r="F52" s="425"/>
      <c r="G52" s="426" t="s">
        <v>3546</v>
      </c>
      <c r="H52" s="420" t="s">
        <v>3547</v>
      </c>
      <c r="I52" s="416"/>
      <c r="J52" s="416"/>
    </row>
    <row r="53" spans="1:15" s="40" customFormat="1">
      <c r="A53" s="410">
        <v>210</v>
      </c>
      <c r="B53" s="417">
        <v>300</v>
      </c>
      <c r="C53" s="422">
        <v>400</v>
      </c>
      <c r="D53" s="422"/>
      <c r="E53" s="422"/>
      <c r="F53" s="425"/>
      <c r="G53" s="426" t="s">
        <v>3548</v>
      </c>
      <c r="H53" s="420" t="s">
        <v>3549</v>
      </c>
      <c r="I53" s="416"/>
      <c r="J53" s="416"/>
    </row>
    <row r="54" spans="1:15" s="40" customFormat="1">
      <c r="A54" s="410">
        <v>210</v>
      </c>
      <c r="B54" s="417">
        <v>400</v>
      </c>
      <c r="C54" s="417"/>
      <c r="D54" s="417"/>
      <c r="E54" s="417"/>
      <c r="F54" s="418"/>
      <c r="G54" s="438" t="s">
        <v>3550</v>
      </c>
      <c r="H54" s="439"/>
      <c r="I54" s="440"/>
      <c r="J54" s="440"/>
    </row>
    <row r="55" spans="1:15" s="40" customFormat="1">
      <c r="A55" s="410">
        <v>210</v>
      </c>
      <c r="B55" s="417">
        <v>400</v>
      </c>
      <c r="C55" s="422">
        <v>50</v>
      </c>
      <c r="D55" s="422"/>
      <c r="E55" s="422"/>
      <c r="F55" s="425"/>
      <c r="G55" s="426" t="s">
        <v>3551</v>
      </c>
      <c r="H55" s="420" t="s">
        <v>3552</v>
      </c>
      <c r="I55" s="416"/>
      <c r="J55" s="416"/>
    </row>
    <row r="56" spans="1:15" s="40" customFormat="1">
      <c r="A56" s="410">
        <v>210</v>
      </c>
      <c r="B56" s="417">
        <v>400</v>
      </c>
      <c r="C56" s="422">
        <v>100</v>
      </c>
      <c r="D56" s="422"/>
      <c r="E56" s="422"/>
      <c r="F56" s="425"/>
      <c r="G56" s="426" t="s">
        <v>3553</v>
      </c>
      <c r="H56" s="420" t="s">
        <v>3552</v>
      </c>
      <c r="I56" s="416"/>
      <c r="J56" s="416"/>
    </row>
    <row r="57" spans="1:15" s="40" customFormat="1">
      <c r="A57" s="410">
        <v>210</v>
      </c>
      <c r="B57" s="417">
        <v>400</v>
      </c>
      <c r="C57" s="422">
        <v>150</v>
      </c>
      <c r="D57" s="422"/>
      <c r="E57" s="422"/>
      <c r="F57" s="425"/>
      <c r="G57" s="426" t="s">
        <v>3554</v>
      </c>
      <c r="H57" s="420" t="s">
        <v>3555</v>
      </c>
      <c r="I57" s="416"/>
      <c r="J57" s="416"/>
    </row>
    <row r="58" spans="1:15" s="40" customFormat="1">
      <c r="A58" s="410">
        <v>210</v>
      </c>
      <c r="B58" s="417">
        <v>400</v>
      </c>
      <c r="C58" s="422">
        <v>200</v>
      </c>
      <c r="D58" s="422"/>
      <c r="E58" s="422"/>
      <c r="F58" s="425"/>
      <c r="G58" s="426" t="s">
        <v>3556</v>
      </c>
      <c r="H58" s="420" t="s">
        <v>3552</v>
      </c>
      <c r="I58" s="416"/>
      <c r="J58" s="416"/>
    </row>
    <row r="59" spans="1:15" s="40" customFormat="1">
      <c r="A59" s="410">
        <v>210</v>
      </c>
      <c r="B59" s="417">
        <v>400</v>
      </c>
      <c r="C59" s="422">
        <v>300</v>
      </c>
      <c r="D59" s="422"/>
      <c r="E59" s="422"/>
      <c r="F59" s="425"/>
      <c r="G59" s="426" t="s">
        <v>3557</v>
      </c>
      <c r="H59" s="420" t="s">
        <v>3558</v>
      </c>
      <c r="I59" s="416"/>
      <c r="J59" s="416"/>
    </row>
    <row r="60" spans="1:15" s="40" customFormat="1">
      <c r="A60" s="410">
        <v>210</v>
      </c>
      <c r="B60" s="417">
        <v>400</v>
      </c>
      <c r="C60" s="422">
        <v>400</v>
      </c>
      <c r="D60" s="422"/>
      <c r="E60" s="422"/>
      <c r="F60" s="425"/>
      <c r="G60" s="426" t="s">
        <v>3559</v>
      </c>
      <c r="H60" s="420" t="s">
        <v>3560</v>
      </c>
      <c r="I60" s="416"/>
      <c r="J60" s="416"/>
    </row>
    <row r="61" spans="1:15" s="40" customFormat="1">
      <c r="A61" s="410">
        <v>210</v>
      </c>
      <c r="B61" s="417">
        <v>400</v>
      </c>
      <c r="C61" s="422">
        <v>500</v>
      </c>
      <c r="D61" s="422"/>
      <c r="E61" s="422"/>
      <c r="F61" s="425"/>
      <c r="G61" s="426" t="s">
        <v>3561</v>
      </c>
      <c r="H61" s="420" t="s">
        <v>3562</v>
      </c>
      <c r="I61" s="416"/>
      <c r="J61" s="416"/>
    </row>
    <row r="62" spans="1:15" s="40" customFormat="1">
      <c r="A62" s="410">
        <v>210</v>
      </c>
      <c r="B62" s="417">
        <v>400</v>
      </c>
      <c r="C62" s="422">
        <v>600</v>
      </c>
      <c r="D62" s="422"/>
      <c r="E62" s="422"/>
      <c r="F62" s="425"/>
      <c r="G62" s="426" t="s">
        <v>3563</v>
      </c>
      <c r="H62" s="420" t="s">
        <v>3564</v>
      </c>
      <c r="I62" s="416"/>
      <c r="J62" s="416"/>
    </row>
    <row r="63" spans="1:15" s="40" customFormat="1">
      <c r="A63" s="410">
        <v>210</v>
      </c>
      <c r="B63" s="417">
        <v>400</v>
      </c>
      <c r="C63" s="422">
        <v>700</v>
      </c>
      <c r="D63" s="422"/>
      <c r="E63" s="422"/>
      <c r="F63" s="425"/>
      <c r="G63" s="426" t="s">
        <v>3565</v>
      </c>
      <c r="H63" s="420" t="s">
        <v>3566</v>
      </c>
      <c r="I63" s="416"/>
      <c r="J63" s="416"/>
    </row>
    <row r="64" spans="1:15" s="40" customFormat="1">
      <c r="A64" s="410">
        <v>210</v>
      </c>
      <c r="B64" s="417">
        <v>400</v>
      </c>
      <c r="C64" s="422">
        <v>800</v>
      </c>
      <c r="D64" s="422"/>
      <c r="E64" s="422"/>
      <c r="F64" s="425"/>
      <c r="G64" s="426" t="s">
        <v>3567</v>
      </c>
      <c r="H64" s="420" t="s">
        <v>3568</v>
      </c>
      <c r="I64" s="416"/>
      <c r="J64" s="416"/>
      <c r="N64" s="685">
        <f>SUM(I50:I110)</f>
        <v>587474</v>
      </c>
      <c r="O64" s="685">
        <f>SUM(J50:J110)</f>
        <v>954537</v>
      </c>
    </row>
    <row r="65" spans="1:15" s="40" customFormat="1">
      <c r="A65" s="410">
        <v>210</v>
      </c>
      <c r="B65" s="417">
        <v>500</v>
      </c>
      <c r="C65" s="417"/>
      <c r="D65" s="417"/>
      <c r="E65" s="417"/>
      <c r="F65" s="418"/>
      <c r="G65" s="438" t="s">
        <v>3569</v>
      </c>
      <c r="H65" s="415"/>
      <c r="I65" s="441"/>
      <c r="J65" s="441"/>
    </row>
    <row r="66" spans="1:15" s="40" customFormat="1">
      <c r="A66" s="410">
        <v>210</v>
      </c>
      <c r="B66" s="417">
        <v>500</v>
      </c>
      <c r="C66" s="422">
        <v>100</v>
      </c>
      <c r="D66" s="422"/>
      <c r="E66" s="422"/>
      <c r="F66" s="425"/>
      <c r="G66" s="423" t="s">
        <v>3570</v>
      </c>
      <c r="H66" s="415" t="s">
        <v>3571</v>
      </c>
      <c r="I66" s="416"/>
      <c r="J66" s="416"/>
    </row>
    <row r="67" spans="1:15" s="40" customFormat="1">
      <c r="A67" s="410">
        <v>210</v>
      </c>
      <c r="B67" s="417">
        <v>500</v>
      </c>
      <c r="C67" s="422">
        <v>101</v>
      </c>
      <c r="D67" s="422"/>
      <c r="E67" s="422"/>
      <c r="F67" s="425"/>
      <c r="G67" s="423" t="s">
        <v>3572</v>
      </c>
      <c r="H67" s="415" t="s">
        <v>3573</v>
      </c>
      <c r="I67" s="416"/>
      <c r="J67" s="416"/>
      <c r="O67" s="685">
        <f>-+N64+O64</f>
        <v>367063</v>
      </c>
    </row>
    <row r="68" spans="1:15" s="40" customFormat="1">
      <c r="A68" s="410">
        <v>210</v>
      </c>
      <c r="B68" s="417">
        <v>500</v>
      </c>
      <c r="C68" s="422">
        <v>102</v>
      </c>
      <c r="D68" s="422"/>
      <c r="E68" s="422"/>
      <c r="F68" s="425"/>
      <c r="G68" s="423" t="s">
        <v>3574</v>
      </c>
      <c r="H68" s="415" t="s">
        <v>3575</v>
      </c>
      <c r="I68" s="416"/>
      <c r="J68" s="416"/>
    </row>
    <row r="69" spans="1:15" s="40" customFormat="1">
      <c r="A69" s="410">
        <v>210</v>
      </c>
      <c r="B69" s="417">
        <v>500</v>
      </c>
      <c r="C69" s="422">
        <v>103</v>
      </c>
      <c r="D69" s="422"/>
      <c r="E69" s="422"/>
      <c r="F69" s="425"/>
      <c r="G69" s="423" t="s">
        <v>3576</v>
      </c>
      <c r="H69" s="415" t="s">
        <v>3577</v>
      </c>
      <c r="I69" s="416"/>
      <c r="J69" s="416"/>
    </row>
    <row r="70" spans="1:15" s="40" customFormat="1">
      <c r="A70" s="410">
        <v>210</v>
      </c>
      <c r="B70" s="417">
        <v>500</v>
      </c>
      <c r="C70" s="422">
        <v>200</v>
      </c>
      <c r="D70" s="422"/>
      <c r="E70" s="422"/>
      <c r="F70" s="425"/>
      <c r="G70" s="423" t="s">
        <v>3578</v>
      </c>
      <c r="H70" s="415" t="s">
        <v>3579</v>
      </c>
      <c r="I70" s="416"/>
      <c r="J70" s="416"/>
    </row>
    <row r="71" spans="1:15" s="40" customFormat="1">
      <c r="A71" s="410">
        <v>210</v>
      </c>
      <c r="B71" s="417">
        <v>500</v>
      </c>
      <c r="C71" s="422">
        <v>201</v>
      </c>
      <c r="D71" s="422"/>
      <c r="E71" s="422"/>
      <c r="F71" s="425"/>
      <c r="G71" s="423" t="s">
        <v>3580</v>
      </c>
      <c r="H71" s="415" t="s">
        <v>3581</v>
      </c>
      <c r="I71" s="416"/>
      <c r="J71" s="416"/>
    </row>
    <row r="72" spans="1:15" s="40" customFormat="1">
      <c r="A72" s="410">
        <v>210</v>
      </c>
      <c r="B72" s="417">
        <v>500</v>
      </c>
      <c r="C72" s="422">
        <v>202</v>
      </c>
      <c r="D72" s="422"/>
      <c r="E72" s="422"/>
      <c r="F72" s="425"/>
      <c r="G72" s="423" t="s">
        <v>3582</v>
      </c>
      <c r="H72" s="415" t="s">
        <v>3583</v>
      </c>
      <c r="I72" s="416"/>
      <c r="J72" s="416"/>
    </row>
    <row r="73" spans="1:15" s="40" customFormat="1">
      <c r="A73" s="410">
        <v>210</v>
      </c>
      <c r="B73" s="417">
        <v>500</v>
      </c>
      <c r="C73" s="422">
        <v>203</v>
      </c>
      <c r="D73" s="422"/>
      <c r="E73" s="422"/>
      <c r="F73" s="425"/>
      <c r="G73" s="423" t="s">
        <v>3584</v>
      </c>
      <c r="H73" s="415" t="s">
        <v>3585</v>
      </c>
      <c r="I73" s="416"/>
      <c r="J73" s="416"/>
    </row>
    <row r="74" spans="1:15" s="40" customFormat="1" ht="25.5">
      <c r="A74" s="410">
        <v>210</v>
      </c>
      <c r="B74" s="417">
        <v>500</v>
      </c>
      <c r="C74" s="422">
        <v>204</v>
      </c>
      <c r="D74" s="422"/>
      <c r="E74" s="422"/>
      <c r="F74" s="425"/>
      <c r="G74" s="423" t="s">
        <v>3586</v>
      </c>
      <c r="H74" s="415" t="s">
        <v>3587</v>
      </c>
      <c r="I74" s="416"/>
      <c r="J74" s="416"/>
    </row>
    <row r="75" spans="1:15" s="40" customFormat="1" ht="25.5">
      <c r="A75" s="410">
        <v>210</v>
      </c>
      <c r="B75" s="417">
        <v>500</v>
      </c>
      <c r="C75" s="422">
        <v>205</v>
      </c>
      <c r="D75" s="422"/>
      <c r="E75" s="422"/>
      <c r="F75" s="425"/>
      <c r="G75" s="423" t="s">
        <v>3588</v>
      </c>
      <c r="H75" s="415" t="s">
        <v>3589</v>
      </c>
      <c r="I75" s="416"/>
      <c r="J75" s="416"/>
    </row>
    <row r="76" spans="1:15" s="40" customFormat="1">
      <c r="A76" s="410">
        <v>210</v>
      </c>
      <c r="B76" s="417">
        <v>500</v>
      </c>
      <c r="C76" s="422">
        <v>206</v>
      </c>
      <c r="D76" s="422"/>
      <c r="E76" s="422"/>
      <c r="F76" s="425"/>
      <c r="G76" s="423" t="s">
        <v>3590</v>
      </c>
      <c r="H76" s="415" t="s">
        <v>3591</v>
      </c>
      <c r="I76" s="416"/>
      <c r="J76" s="416"/>
    </row>
    <row r="77" spans="1:15" s="40" customFormat="1" ht="25.5">
      <c r="A77" s="410">
        <v>210</v>
      </c>
      <c r="B77" s="417">
        <v>500</v>
      </c>
      <c r="C77" s="422">
        <v>212</v>
      </c>
      <c r="D77" s="422"/>
      <c r="E77" s="422"/>
      <c r="F77" s="425"/>
      <c r="G77" s="423" t="s">
        <v>3592</v>
      </c>
      <c r="H77" s="415" t="s">
        <v>3593</v>
      </c>
      <c r="I77" s="416"/>
      <c r="J77" s="416"/>
    </row>
    <row r="78" spans="1:15" s="40" customFormat="1">
      <c r="A78" s="410">
        <v>210</v>
      </c>
      <c r="B78" s="417">
        <v>500</v>
      </c>
      <c r="C78" s="422">
        <v>207</v>
      </c>
      <c r="D78" s="422"/>
      <c r="E78" s="422"/>
      <c r="F78" s="425"/>
      <c r="G78" s="423" t="s">
        <v>3594</v>
      </c>
      <c r="H78" s="415" t="s">
        <v>3595</v>
      </c>
      <c r="I78" s="416"/>
      <c r="J78" s="416"/>
    </row>
    <row r="79" spans="1:15" s="40" customFormat="1" ht="25.5">
      <c r="A79" s="410">
        <v>210</v>
      </c>
      <c r="B79" s="417">
        <v>500</v>
      </c>
      <c r="C79" s="422">
        <v>208</v>
      </c>
      <c r="D79" s="422"/>
      <c r="E79" s="422"/>
      <c r="F79" s="425"/>
      <c r="G79" s="423" t="s">
        <v>3596</v>
      </c>
      <c r="H79" s="415" t="s">
        <v>3597</v>
      </c>
      <c r="I79" s="416"/>
      <c r="J79" s="416"/>
    </row>
    <row r="80" spans="1:15" s="40" customFormat="1" ht="25.5">
      <c r="A80" s="410">
        <v>210</v>
      </c>
      <c r="B80" s="417">
        <v>500</v>
      </c>
      <c r="C80" s="422">
        <v>209</v>
      </c>
      <c r="D80" s="422"/>
      <c r="E80" s="422"/>
      <c r="F80" s="425"/>
      <c r="G80" s="423" t="s">
        <v>3598</v>
      </c>
      <c r="H80" s="415" t="s">
        <v>3599</v>
      </c>
      <c r="I80" s="416"/>
      <c r="J80" s="416"/>
    </row>
    <row r="81" spans="1:13" s="40" customFormat="1" ht="25.5">
      <c r="A81" s="410">
        <v>210</v>
      </c>
      <c r="B81" s="417">
        <v>500</v>
      </c>
      <c r="C81" s="422">
        <v>210</v>
      </c>
      <c r="D81" s="422"/>
      <c r="E81" s="422"/>
      <c r="F81" s="425"/>
      <c r="G81" s="423" t="s">
        <v>3600</v>
      </c>
      <c r="H81" s="415" t="s">
        <v>3601</v>
      </c>
      <c r="I81" s="416"/>
      <c r="J81" s="416"/>
    </row>
    <row r="82" spans="1:13" s="40" customFormat="1" ht="25.5">
      <c r="A82" s="410">
        <v>210</v>
      </c>
      <c r="B82" s="417">
        <v>500</v>
      </c>
      <c r="C82" s="422">
        <v>211</v>
      </c>
      <c r="D82" s="422"/>
      <c r="E82" s="422"/>
      <c r="F82" s="425"/>
      <c r="G82" s="423" t="s">
        <v>3602</v>
      </c>
      <c r="H82" s="415" t="s">
        <v>3603</v>
      </c>
      <c r="I82" s="416"/>
      <c r="J82" s="416"/>
    </row>
    <row r="83" spans="1:13" s="40" customFormat="1">
      <c r="A83" s="410">
        <v>210</v>
      </c>
      <c r="B83" s="417">
        <v>500</v>
      </c>
      <c r="C83" s="422">
        <v>300</v>
      </c>
      <c r="D83" s="422"/>
      <c r="E83" s="422"/>
      <c r="F83" s="425"/>
      <c r="G83" s="423" t="s">
        <v>3604</v>
      </c>
      <c r="H83" s="415" t="s">
        <v>3605</v>
      </c>
      <c r="I83" s="416"/>
      <c r="J83" s="416"/>
    </row>
    <row r="84" spans="1:13" s="442" customFormat="1" ht="25.5">
      <c r="A84" s="410">
        <v>210</v>
      </c>
      <c r="B84" s="417">
        <v>500</v>
      </c>
      <c r="C84" s="422">
        <v>402</v>
      </c>
      <c r="D84" s="422"/>
      <c r="E84" s="422"/>
      <c r="F84" s="425"/>
      <c r="G84" s="423" t="s">
        <v>3606</v>
      </c>
      <c r="H84" s="415" t="s">
        <v>3607</v>
      </c>
      <c r="I84" s="416"/>
      <c r="J84" s="416"/>
    </row>
    <row r="85" spans="1:13" s="442" customFormat="1" ht="25.5">
      <c r="A85" s="410">
        <v>210</v>
      </c>
      <c r="B85" s="417">
        <v>500</v>
      </c>
      <c r="C85" s="422">
        <v>403</v>
      </c>
      <c r="D85" s="422"/>
      <c r="E85" s="422"/>
      <c r="F85" s="425"/>
      <c r="G85" s="423" t="s">
        <v>3608</v>
      </c>
      <c r="H85" s="415" t="s">
        <v>3609</v>
      </c>
      <c r="I85" s="416"/>
      <c r="J85" s="416"/>
    </row>
    <row r="86" spans="1:13" s="442" customFormat="1" ht="25.5">
      <c r="A86" s="410">
        <v>210</v>
      </c>
      <c r="B86" s="417">
        <v>500</v>
      </c>
      <c r="C86" s="422">
        <v>404</v>
      </c>
      <c r="D86" s="422"/>
      <c r="E86" s="422"/>
      <c r="F86" s="425"/>
      <c r="G86" s="423" t="s">
        <v>3610</v>
      </c>
      <c r="H86" s="415" t="s">
        <v>3611</v>
      </c>
      <c r="I86" s="416">
        <v>138036</v>
      </c>
      <c r="J86" s="416">
        <v>257733</v>
      </c>
    </row>
    <row r="87" spans="1:13" s="442" customFormat="1" ht="25.5">
      <c r="A87" s="410">
        <v>210</v>
      </c>
      <c r="B87" s="417">
        <v>500</v>
      </c>
      <c r="C87" s="422">
        <v>405</v>
      </c>
      <c r="D87" s="422"/>
      <c r="E87" s="422"/>
      <c r="F87" s="425"/>
      <c r="G87" s="423" t="s">
        <v>3612</v>
      </c>
      <c r="H87" s="415" t="s">
        <v>3613</v>
      </c>
      <c r="I87" s="416"/>
      <c r="J87" s="416"/>
    </row>
    <row r="88" spans="1:13" s="442" customFormat="1" ht="25.5">
      <c r="A88" s="410">
        <v>210</v>
      </c>
      <c r="B88" s="417">
        <v>500</v>
      </c>
      <c r="C88" s="422">
        <v>406</v>
      </c>
      <c r="D88" s="422"/>
      <c r="E88" s="422"/>
      <c r="F88" s="425"/>
      <c r="G88" s="423" t="s">
        <v>3614</v>
      </c>
      <c r="H88" s="415" t="s">
        <v>3615</v>
      </c>
      <c r="I88" s="416"/>
      <c r="J88" s="416"/>
    </row>
    <row r="89" spans="1:13" s="442" customFormat="1" ht="25.5">
      <c r="A89" s="410">
        <v>210</v>
      </c>
      <c r="B89" s="417">
        <v>500</v>
      </c>
      <c r="C89" s="422">
        <v>407</v>
      </c>
      <c r="D89" s="422"/>
      <c r="E89" s="422"/>
      <c r="F89" s="425"/>
      <c r="G89" s="423" t="s">
        <v>3616</v>
      </c>
      <c r="H89" s="415" t="s">
        <v>3617</v>
      </c>
      <c r="I89" s="416"/>
      <c r="J89" s="416"/>
    </row>
    <row r="90" spans="1:13" s="442" customFormat="1" ht="25.5">
      <c r="A90" s="410">
        <v>210</v>
      </c>
      <c r="B90" s="417">
        <v>500</v>
      </c>
      <c r="C90" s="422">
        <v>408</v>
      </c>
      <c r="D90" s="422"/>
      <c r="E90" s="422"/>
      <c r="F90" s="425"/>
      <c r="G90" s="423" t="s">
        <v>3618</v>
      </c>
      <c r="H90" s="415" t="s">
        <v>3619</v>
      </c>
      <c r="I90" s="416"/>
      <c r="J90" s="416"/>
    </row>
    <row r="91" spans="1:13" s="442" customFormat="1" ht="25.5">
      <c r="A91" s="410">
        <v>210</v>
      </c>
      <c r="B91" s="417">
        <v>500</v>
      </c>
      <c r="C91" s="422">
        <v>415</v>
      </c>
      <c r="D91" s="422"/>
      <c r="E91" s="422"/>
      <c r="F91" s="425"/>
      <c r="G91" s="423" t="s">
        <v>3620</v>
      </c>
      <c r="H91" s="415" t="s">
        <v>3621</v>
      </c>
      <c r="I91" s="416"/>
      <c r="J91" s="416"/>
    </row>
    <row r="92" spans="1:13" s="442" customFormat="1">
      <c r="A92" s="410">
        <v>210</v>
      </c>
      <c r="B92" s="417">
        <v>500</v>
      </c>
      <c r="C92" s="422">
        <v>409</v>
      </c>
      <c r="D92" s="422"/>
      <c r="E92" s="422"/>
      <c r="F92" s="425"/>
      <c r="G92" s="423" t="s">
        <v>3622</v>
      </c>
      <c r="H92" s="415" t="s">
        <v>3623</v>
      </c>
      <c r="I92" s="416"/>
      <c r="J92" s="416"/>
    </row>
    <row r="93" spans="1:13" s="442" customFormat="1" ht="25.5">
      <c r="A93" s="410">
        <v>210</v>
      </c>
      <c r="B93" s="417">
        <v>500</v>
      </c>
      <c r="C93" s="422">
        <v>416</v>
      </c>
      <c r="D93" s="422"/>
      <c r="E93" s="422"/>
      <c r="F93" s="425"/>
      <c r="G93" s="423" t="s">
        <v>3624</v>
      </c>
      <c r="H93" s="415" t="s">
        <v>3625</v>
      </c>
      <c r="I93" s="416"/>
      <c r="J93" s="416"/>
      <c r="M93" s="904"/>
    </row>
    <row r="94" spans="1:13" s="442" customFormat="1" ht="25.5">
      <c r="A94" s="410">
        <v>210</v>
      </c>
      <c r="B94" s="417">
        <v>500</v>
      </c>
      <c r="C94" s="422">
        <v>410</v>
      </c>
      <c r="D94" s="422"/>
      <c r="E94" s="422"/>
      <c r="F94" s="425"/>
      <c r="G94" s="423" t="s">
        <v>3626</v>
      </c>
      <c r="H94" s="415" t="s">
        <v>3627</v>
      </c>
      <c r="I94" s="416"/>
      <c r="J94" s="416"/>
      <c r="M94" s="904"/>
    </row>
    <row r="95" spans="1:13" s="442" customFormat="1" ht="25.5">
      <c r="A95" s="410">
        <v>210</v>
      </c>
      <c r="B95" s="417">
        <v>500</v>
      </c>
      <c r="C95" s="422">
        <v>411</v>
      </c>
      <c r="D95" s="422"/>
      <c r="E95" s="422"/>
      <c r="F95" s="425"/>
      <c r="G95" s="423" t="s">
        <v>3628</v>
      </c>
      <c r="H95" s="415" t="s">
        <v>3629</v>
      </c>
      <c r="I95" s="416"/>
      <c r="J95" s="416"/>
    </row>
    <row r="96" spans="1:13" s="442" customFormat="1" ht="25.5">
      <c r="A96" s="410">
        <v>210</v>
      </c>
      <c r="B96" s="417">
        <v>500</v>
      </c>
      <c r="C96" s="422">
        <v>412</v>
      </c>
      <c r="D96" s="422"/>
      <c r="E96" s="422"/>
      <c r="F96" s="425"/>
      <c r="G96" s="423" t="s">
        <v>3630</v>
      </c>
      <c r="H96" s="415" t="s">
        <v>3631</v>
      </c>
      <c r="I96" s="416"/>
      <c r="J96" s="416"/>
    </row>
    <row r="97" spans="1:16" s="442" customFormat="1">
      <c r="A97" s="410">
        <v>210</v>
      </c>
      <c r="B97" s="417">
        <v>500</v>
      </c>
      <c r="C97" s="422">
        <v>413</v>
      </c>
      <c r="D97" s="422"/>
      <c r="E97" s="422"/>
      <c r="F97" s="425"/>
      <c r="G97" s="423" t="s">
        <v>3632</v>
      </c>
      <c r="H97" s="415" t="s">
        <v>3633</v>
      </c>
      <c r="I97" s="416"/>
      <c r="J97" s="416"/>
    </row>
    <row r="98" spans="1:16" s="442" customFormat="1" ht="25.5">
      <c r="A98" s="410">
        <v>210</v>
      </c>
      <c r="B98" s="417">
        <v>500</v>
      </c>
      <c r="C98" s="422">
        <v>414</v>
      </c>
      <c r="D98" s="422"/>
      <c r="E98" s="422"/>
      <c r="F98" s="425"/>
      <c r="G98" s="423" t="s">
        <v>3634</v>
      </c>
      <c r="H98" s="415" t="s">
        <v>3635</v>
      </c>
      <c r="I98" s="416"/>
      <c r="J98" s="416"/>
    </row>
    <row r="99" spans="1:16" s="442" customFormat="1">
      <c r="A99" s="410">
        <v>210</v>
      </c>
      <c r="B99" s="417">
        <v>500</v>
      </c>
      <c r="C99" s="422">
        <v>500</v>
      </c>
      <c r="D99" s="422"/>
      <c r="E99" s="422"/>
      <c r="F99" s="425"/>
      <c r="G99" s="423" t="s">
        <v>3636</v>
      </c>
      <c r="H99" s="415" t="s">
        <v>3637</v>
      </c>
      <c r="I99" s="416"/>
      <c r="J99" s="416"/>
    </row>
    <row r="100" spans="1:16" s="40" customFormat="1">
      <c r="A100" s="410">
        <v>210</v>
      </c>
      <c r="B100" s="417">
        <v>500</v>
      </c>
      <c r="C100" s="422">
        <v>604</v>
      </c>
      <c r="D100" s="422"/>
      <c r="E100" s="422"/>
      <c r="F100" s="425"/>
      <c r="G100" s="423" t="s">
        <v>3642</v>
      </c>
      <c r="H100" s="415" t="s">
        <v>3643</v>
      </c>
      <c r="I100" s="416">
        <v>124985</v>
      </c>
      <c r="J100" s="416"/>
    </row>
    <row r="101" spans="1:16" s="40" customFormat="1">
      <c r="A101" s="410">
        <v>210</v>
      </c>
      <c r="B101" s="417">
        <v>500</v>
      </c>
      <c r="C101" s="422">
        <v>700</v>
      </c>
      <c r="D101" s="422"/>
      <c r="E101" s="422"/>
      <c r="F101" s="425"/>
      <c r="G101" s="423" t="s">
        <v>3644</v>
      </c>
      <c r="H101" s="415" t="s">
        <v>3645</v>
      </c>
      <c r="I101" s="416"/>
      <c r="J101" s="416"/>
    </row>
    <row r="102" spans="1:16" s="40" customFormat="1">
      <c r="A102" s="410">
        <v>210</v>
      </c>
      <c r="B102" s="417">
        <v>500</v>
      </c>
      <c r="C102" s="422">
        <v>701</v>
      </c>
      <c r="D102" s="422"/>
      <c r="E102" s="422"/>
      <c r="F102" s="425"/>
      <c r="G102" s="423" t="s">
        <v>3646</v>
      </c>
      <c r="H102" s="415" t="s">
        <v>3647</v>
      </c>
      <c r="I102" s="416"/>
      <c r="J102" s="416"/>
    </row>
    <row r="103" spans="1:16" s="40" customFormat="1">
      <c r="A103" s="410">
        <v>210</v>
      </c>
      <c r="B103" s="417">
        <v>500</v>
      </c>
      <c r="C103" s="422">
        <v>702</v>
      </c>
      <c r="D103" s="422"/>
      <c r="E103" s="422"/>
      <c r="F103" s="425"/>
      <c r="G103" s="423" t="s">
        <v>3648</v>
      </c>
      <c r="H103" s="415" t="s">
        <v>3649</v>
      </c>
      <c r="I103" s="416"/>
      <c r="J103" s="416"/>
    </row>
    <row r="104" spans="1:16" s="40" customFormat="1">
      <c r="A104" s="410">
        <v>210</v>
      </c>
      <c r="B104" s="417">
        <v>500</v>
      </c>
      <c r="C104" s="422">
        <v>703</v>
      </c>
      <c r="D104" s="422"/>
      <c r="E104" s="422"/>
      <c r="F104" s="425"/>
      <c r="G104" s="423" t="s">
        <v>3650</v>
      </c>
      <c r="H104" s="415" t="s">
        <v>3651</v>
      </c>
      <c r="I104" s="416"/>
      <c r="J104" s="416"/>
    </row>
    <row r="105" spans="1:16" s="40" customFormat="1">
      <c r="A105" s="410">
        <v>210</v>
      </c>
      <c r="B105" s="417">
        <v>500</v>
      </c>
      <c r="C105" s="422">
        <v>900</v>
      </c>
      <c r="D105" s="422"/>
      <c r="E105" s="422"/>
      <c r="F105" s="425"/>
      <c r="G105" s="423" t="s">
        <v>3652</v>
      </c>
      <c r="H105" s="415" t="s">
        <v>3653</v>
      </c>
      <c r="I105" s="416">
        <v>324453</v>
      </c>
      <c r="J105" s="416">
        <v>696804</v>
      </c>
    </row>
    <row r="106" spans="1:16" s="40" customFormat="1">
      <c r="A106" s="410">
        <v>210</v>
      </c>
      <c r="B106" s="417">
        <v>500</v>
      </c>
      <c r="C106" s="422">
        <v>901</v>
      </c>
      <c r="D106" s="422"/>
      <c r="E106" s="422"/>
      <c r="F106" s="425"/>
      <c r="G106" s="423" t="s">
        <v>3654</v>
      </c>
      <c r="H106" s="415" t="s">
        <v>3655</v>
      </c>
      <c r="I106" s="416"/>
      <c r="J106" s="416"/>
    </row>
    <row r="107" spans="1:16" s="40" customFormat="1">
      <c r="A107" s="410">
        <v>210</v>
      </c>
      <c r="B107" s="417">
        <v>500</v>
      </c>
      <c r="C107" s="422">
        <v>902</v>
      </c>
      <c r="D107" s="422"/>
      <c r="E107" s="422"/>
      <c r="F107" s="425"/>
      <c r="G107" s="423" t="s">
        <v>3656</v>
      </c>
      <c r="H107" s="415" t="s">
        <v>3657</v>
      </c>
      <c r="I107" s="416"/>
      <c r="J107" s="416"/>
    </row>
    <row r="108" spans="1:16" s="40" customFormat="1">
      <c r="A108" s="410">
        <v>210</v>
      </c>
      <c r="B108" s="417">
        <v>500</v>
      </c>
      <c r="C108" s="422">
        <v>903</v>
      </c>
      <c r="D108" s="422"/>
      <c r="E108" s="422"/>
      <c r="F108" s="425"/>
      <c r="G108" s="423" t="s">
        <v>3658</v>
      </c>
      <c r="H108" s="415" t="s">
        <v>3659</v>
      </c>
      <c r="I108" s="416"/>
      <c r="J108" s="416"/>
    </row>
    <row r="109" spans="1:16" s="40" customFormat="1">
      <c r="A109" s="410">
        <v>210</v>
      </c>
      <c r="B109" s="417">
        <v>500</v>
      </c>
      <c r="C109" s="422">
        <v>990</v>
      </c>
      <c r="D109" s="422"/>
      <c r="E109" s="422"/>
      <c r="F109" s="425"/>
      <c r="G109" s="423" t="s">
        <v>3660</v>
      </c>
      <c r="H109" s="415" t="s">
        <v>3661</v>
      </c>
      <c r="I109" s="416"/>
      <c r="J109" s="416"/>
    </row>
    <row r="110" spans="1:16" s="40" customFormat="1" ht="25.5">
      <c r="A110" s="410">
        <v>210</v>
      </c>
      <c r="B110" s="417">
        <v>500</v>
      </c>
      <c r="C110" s="422">
        <v>991</v>
      </c>
      <c r="D110" s="411"/>
      <c r="E110" s="411"/>
      <c r="F110" s="443"/>
      <c r="G110" s="414" t="s">
        <v>3662</v>
      </c>
      <c r="H110" s="415" t="s">
        <v>3663</v>
      </c>
      <c r="I110" s="416"/>
      <c r="J110" s="416"/>
      <c r="M110" s="685"/>
      <c r="N110" s="685"/>
      <c r="O110" s="685"/>
      <c r="P110" s="903"/>
    </row>
    <row r="111" spans="1:16" s="40" customFormat="1">
      <c r="A111" s="444">
        <v>220</v>
      </c>
      <c r="B111" s="445">
        <v>0</v>
      </c>
      <c r="C111" s="445">
        <v>0</v>
      </c>
      <c r="D111" s="445">
        <v>0</v>
      </c>
      <c r="E111" s="445">
        <v>0</v>
      </c>
      <c r="F111" s="446">
        <v>0</v>
      </c>
      <c r="G111" s="447" t="s">
        <v>3664</v>
      </c>
      <c r="H111" s="436"/>
      <c r="I111" s="437"/>
      <c r="J111" s="437"/>
    </row>
    <row r="112" spans="1:16" s="40" customFormat="1">
      <c r="A112" s="410">
        <v>220</v>
      </c>
      <c r="B112" s="422">
        <v>100</v>
      </c>
      <c r="C112" s="422"/>
      <c r="D112" s="422"/>
      <c r="E112" s="422"/>
      <c r="F112" s="425"/>
      <c r="G112" s="423" t="s">
        <v>3665</v>
      </c>
      <c r="H112" s="420" t="s">
        <v>3666</v>
      </c>
      <c r="I112" s="416"/>
      <c r="J112" s="416"/>
    </row>
    <row r="113" spans="1:10" s="409" customFormat="1">
      <c r="A113" s="410">
        <v>220</v>
      </c>
      <c r="B113" s="417">
        <v>200</v>
      </c>
      <c r="C113" s="417"/>
      <c r="D113" s="417"/>
      <c r="E113" s="417"/>
      <c r="F113" s="418"/>
      <c r="G113" s="419" t="s">
        <v>3667</v>
      </c>
      <c r="H113" s="420"/>
      <c r="I113" s="421"/>
      <c r="J113" s="421"/>
    </row>
    <row r="114" spans="1:10" s="40" customFormat="1">
      <c r="A114" s="410">
        <v>220</v>
      </c>
      <c r="B114" s="417">
        <v>200</v>
      </c>
      <c r="C114" s="422">
        <v>100</v>
      </c>
      <c r="D114" s="422"/>
      <c r="E114" s="422"/>
      <c r="F114" s="425"/>
      <c r="G114" s="423" t="s">
        <v>3668</v>
      </c>
      <c r="H114" s="420" t="s">
        <v>3669</v>
      </c>
      <c r="I114" s="424">
        <v>3264701</v>
      </c>
      <c r="J114" s="424">
        <v>3282347</v>
      </c>
    </row>
    <row r="115" spans="1:10" s="40" customFormat="1">
      <c r="A115" s="410">
        <v>220</v>
      </c>
      <c r="B115" s="417">
        <v>200</v>
      </c>
      <c r="C115" s="422">
        <v>200</v>
      </c>
      <c r="D115" s="422"/>
      <c r="E115" s="422"/>
      <c r="F115" s="425"/>
      <c r="G115" s="423" t="s">
        <v>3670</v>
      </c>
      <c r="H115" s="420" t="s">
        <v>3671</v>
      </c>
      <c r="I115" s="424">
        <v>1495755</v>
      </c>
      <c r="J115" s="424">
        <v>1474782</v>
      </c>
    </row>
    <row r="116" spans="1:10" s="40" customFormat="1">
      <c r="A116" s="410">
        <v>220</v>
      </c>
      <c r="B116" s="417">
        <v>200</v>
      </c>
      <c r="C116" s="422">
        <v>300</v>
      </c>
      <c r="D116" s="422"/>
      <c r="E116" s="422"/>
      <c r="F116" s="425"/>
      <c r="G116" s="423" t="s">
        <v>3672</v>
      </c>
      <c r="H116" s="420" t="s">
        <v>3673</v>
      </c>
      <c r="I116" s="416"/>
      <c r="J116" s="416"/>
    </row>
    <row r="117" spans="1:10" s="40" customFormat="1">
      <c r="A117" s="410">
        <v>220</v>
      </c>
      <c r="B117" s="417">
        <v>200</v>
      </c>
      <c r="C117" s="422">
        <v>400</v>
      </c>
      <c r="D117" s="422"/>
      <c r="E117" s="422"/>
      <c r="F117" s="425"/>
      <c r="G117" s="423" t="s">
        <v>3674</v>
      </c>
      <c r="H117" s="420" t="s">
        <v>3675</v>
      </c>
      <c r="I117" s="416"/>
      <c r="J117" s="416"/>
    </row>
    <row r="118" spans="1:10" s="40" customFormat="1">
      <c r="A118" s="410">
        <v>220</v>
      </c>
      <c r="B118" s="417">
        <v>200</v>
      </c>
      <c r="C118" s="422">
        <v>500</v>
      </c>
      <c r="D118" s="422"/>
      <c r="E118" s="422"/>
      <c r="F118" s="425"/>
      <c r="G118" s="423" t="s">
        <v>3676</v>
      </c>
      <c r="H118" s="420" t="s">
        <v>3677</v>
      </c>
      <c r="I118" s="416"/>
      <c r="J118" s="416"/>
    </row>
    <row r="119" spans="1:10" s="40" customFormat="1">
      <c r="A119" s="410">
        <v>220</v>
      </c>
      <c r="B119" s="417">
        <v>200</v>
      </c>
      <c r="C119" s="422">
        <v>600</v>
      </c>
      <c r="D119" s="422"/>
      <c r="E119" s="422"/>
      <c r="F119" s="425"/>
      <c r="G119" s="423" t="s">
        <v>3678</v>
      </c>
      <c r="H119" s="420" t="s">
        <v>3679</v>
      </c>
      <c r="I119" s="416"/>
      <c r="J119" s="416"/>
    </row>
    <row r="120" spans="1:10" s="40" customFormat="1">
      <c r="A120" s="410">
        <v>220</v>
      </c>
      <c r="B120" s="417">
        <v>200</v>
      </c>
      <c r="C120" s="417">
        <v>900</v>
      </c>
      <c r="D120" s="417"/>
      <c r="E120" s="417"/>
      <c r="F120" s="418"/>
      <c r="G120" s="419" t="s">
        <v>3680</v>
      </c>
      <c r="H120" s="420" t="s">
        <v>3681</v>
      </c>
      <c r="I120" s="421"/>
      <c r="J120" s="421"/>
    </row>
    <row r="121" spans="1:10" s="40" customFormat="1">
      <c r="A121" s="410">
        <v>220</v>
      </c>
      <c r="B121" s="417">
        <v>200</v>
      </c>
      <c r="C121" s="417">
        <v>900</v>
      </c>
      <c r="D121" s="422">
        <v>100</v>
      </c>
      <c r="E121" s="428"/>
      <c r="F121" s="429"/>
      <c r="G121" s="426" t="s">
        <v>3682</v>
      </c>
      <c r="H121" s="420"/>
      <c r="I121" s="416"/>
      <c r="J121" s="416"/>
    </row>
    <row r="122" spans="1:10" s="40" customFormat="1">
      <c r="A122" s="410">
        <v>220</v>
      </c>
      <c r="B122" s="417">
        <v>200</v>
      </c>
      <c r="C122" s="417">
        <v>900</v>
      </c>
      <c r="D122" s="422">
        <v>200</v>
      </c>
      <c r="E122" s="428"/>
      <c r="F122" s="429"/>
      <c r="G122" s="426" t="s">
        <v>3683</v>
      </c>
      <c r="H122" s="420"/>
      <c r="I122" s="416"/>
      <c r="J122" s="416"/>
    </row>
    <row r="123" spans="1:10" s="40" customFormat="1">
      <c r="A123" s="410">
        <v>220</v>
      </c>
      <c r="B123" s="417">
        <v>200</v>
      </c>
      <c r="C123" s="417">
        <v>900</v>
      </c>
      <c r="D123" s="422">
        <v>900</v>
      </c>
      <c r="E123" s="422"/>
      <c r="F123" s="425"/>
      <c r="G123" s="426" t="s">
        <v>3680</v>
      </c>
      <c r="H123" s="420"/>
      <c r="I123" s="416">
        <v>636732</v>
      </c>
      <c r="J123" s="416">
        <v>645701</v>
      </c>
    </row>
    <row r="124" spans="1:10" s="40" customFormat="1">
      <c r="A124" s="410">
        <v>220</v>
      </c>
      <c r="B124" s="417">
        <v>300</v>
      </c>
      <c r="C124" s="417"/>
      <c r="D124" s="448"/>
      <c r="E124" s="448"/>
      <c r="F124" s="449"/>
      <c r="G124" s="419" t="s">
        <v>3684</v>
      </c>
      <c r="H124" s="420"/>
      <c r="I124" s="421"/>
      <c r="J124" s="421"/>
    </row>
    <row r="125" spans="1:10" s="40" customFormat="1">
      <c r="A125" s="410">
        <v>220</v>
      </c>
      <c r="B125" s="417">
        <v>300</v>
      </c>
      <c r="C125" s="422">
        <v>100</v>
      </c>
      <c r="D125" s="428"/>
      <c r="E125" s="428"/>
      <c r="F125" s="429"/>
      <c r="G125" s="423" t="s">
        <v>3685</v>
      </c>
      <c r="H125" s="420" t="s">
        <v>3686</v>
      </c>
      <c r="I125" s="416"/>
      <c r="J125" s="416"/>
    </row>
    <row r="126" spans="1:10" s="40" customFormat="1">
      <c r="A126" s="410">
        <v>220</v>
      </c>
      <c r="B126" s="417">
        <v>300</v>
      </c>
      <c r="C126" s="422">
        <v>200</v>
      </c>
      <c r="D126" s="428"/>
      <c r="E126" s="428"/>
      <c r="F126" s="429"/>
      <c r="G126" s="423" t="s">
        <v>3687</v>
      </c>
      <c r="H126" s="420" t="s">
        <v>3688</v>
      </c>
      <c r="I126" s="416"/>
      <c r="J126" s="416"/>
    </row>
    <row r="127" spans="1:10" s="40" customFormat="1">
      <c r="A127" s="410">
        <v>220</v>
      </c>
      <c r="B127" s="417">
        <v>300</v>
      </c>
      <c r="C127" s="411">
        <v>300</v>
      </c>
      <c r="D127" s="428"/>
      <c r="E127" s="428"/>
      <c r="F127" s="429"/>
      <c r="G127" s="423" t="s">
        <v>3689</v>
      </c>
      <c r="H127" s="420" t="s">
        <v>3690</v>
      </c>
      <c r="I127" s="416"/>
      <c r="J127" s="416"/>
    </row>
    <row r="128" spans="1:10" s="40" customFormat="1">
      <c r="A128" s="410">
        <v>220</v>
      </c>
      <c r="B128" s="417">
        <v>300</v>
      </c>
      <c r="C128" s="422">
        <v>400</v>
      </c>
      <c r="D128" s="428"/>
      <c r="E128" s="428"/>
      <c r="F128" s="429"/>
      <c r="G128" s="423" t="s">
        <v>3691</v>
      </c>
      <c r="H128" s="420" t="s">
        <v>3692</v>
      </c>
      <c r="I128" s="416"/>
      <c r="J128" s="416"/>
    </row>
    <row r="129" spans="1:10" s="40" customFormat="1">
      <c r="A129" s="410">
        <v>220</v>
      </c>
      <c r="B129" s="417">
        <v>300</v>
      </c>
      <c r="C129" s="422">
        <v>500</v>
      </c>
      <c r="D129" s="428"/>
      <c r="E129" s="428"/>
      <c r="F129" s="429"/>
      <c r="G129" s="423" t="s">
        <v>3693</v>
      </c>
      <c r="H129" s="420" t="s">
        <v>3694</v>
      </c>
      <c r="I129" s="416"/>
      <c r="J129" s="416"/>
    </row>
    <row r="130" spans="1:10" s="40" customFormat="1">
      <c r="A130" s="410">
        <v>220</v>
      </c>
      <c r="B130" s="417">
        <v>300</v>
      </c>
      <c r="C130" s="422">
        <v>600</v>
      </c>
      <c r="D130" s="428"/>
      <c r="E130" s="428"/>
      <c r="F130" s="429"/>
      <c r="G130" s="423" t="s">
        <v>3695</v>
      </c>
      <c r="H130" s="420" t="s">
        <v>3696</v>
      </c>
      <c r="I130" s="416"/>
      <c r="J130" s="416"/>
    </row>
    <row r="131" spans="1:10" s="40" customFormat="1">
      <c r="A131" s="410">
        <v>220</v>
      </c>
      <c r="B131" s="417">
        <v>300</v>
      </c>
      <c r="C131" s="411">
        <v>700</v>
      </c>
      <c r="D131" s="428"/>
      <c r="E131" s="428"/>
      <c r="F131" s="429"/>
      <c r="G131" s="423" t="s">
        <v>3697</v>
      </c>
      <c r="H131" s="420" t="s">
        <v>3698</v>
      </c>
      <c r="I131" s="416"/>
      <c r="J131" s="416"/>
    </row>
    <row r="132" spans="1:10" s="40" customFormat="1" ht="25.5">
      <c r="A132" s="410">
        <v>220</v>
      </c>
      <c r="B132" s="417">
        <v>300</v>
      </c>
      <c r="C132" s="411">
        <v>800</v>
      </c>
      <c r="D132" s="428"/>
      <c r="E132" s="428"/>
      <c r="F132" s="429"/>
      <c r="G132" s="423" t="s">
        <v>3699</v>
      </c>
      <c r="H132" s="420" t="s">
        <v>3700</v>
      </c>
      <c r="I132" s="416"/>
      <c r="J132" s="416"/>
    </row>
    <row r="133" spans="1:10" s="40" customFormat="1">
      <c r="A133" s="410">
        <v>220</v>
      </c>
      <c r="B133" s="417">
        <v>400</v>
      </c>
      <c r="C133" s="417"/>
      <c r="D133" s="448"/>
      <c r="E133" s="448"/>
      <c r="F133" s="449"/>
      <c r="G133" s="419" t="s">
        <v>3701</v>
      </c>
      <c r="H133" s="420" t="s">
        <v>3702</v>
      </c>
      <c r="I133" s="421"/>
      <c r="J133" s="421"/>
    </row>
    <row r="134" spans="1:10" s="40" customFormat="1" ht="25.5">
      <c r="A134" s="410">
        <v>220</v>
      </c>
      <c r="B134" s="417">
        <v>400</v>
      </c>
      <c r="C134" s="422">
        <v>50</v>
      </c>
      <c r="D134" s="448"/>
      <c r="E134" s="448"/>
      <c r="F134" s="449"/>
      <c r="G134" s="423" t="s">
        <v>3703</v>
      </c>
      <c r="H134" s="420" t="s">
        <v>3704</v>
      </c>
      <c r="I134" s="416">
        <v>205207</v>
      </c>
      <c r="J134" s="416">
        <v>2036900</v>
      </c>
    </row>
    <row r="135" spans="1:10" s="40" customFormat="1" ht="25.5">
      <c r="A135" s="410">
        <v>220</v>
      </c>
      <c r="B135" s="417">
        <v>400</v>
      </c>
      <c r="C135" s="422">
        <v>100</v>
      </c>
      <c r="D135" s="428"/>
      <c r="E135" s="428"/>
      <c r="F135" s="429"/>
      <c r="G135" s="423" t="s">
        <v>3705</v>
      </c>
      <c r="H135" s="420" t="s">
        <v>3706</v>
      </c>
      <c r="I135" s="416">
        <v>0</v>
      </c>
      <c r="J135" s="416">
        <v>22412</v>
      </c>
    </row>
    <row r="136" spans="1:10" s="40" customFormat="1">
      <c r="A136" s="410">
        <v>220</v>
      </c>
      <c r="B136" s="417">
        <v>400</v>
      </c>
      <c r="C136" s="422">
        <v>200</v>
      </c>
      <c r="D136" s="428"/>
      <c r="E136" s="428"/>
      <c r="F136" s="429"/>
      <c r="G136" s="423" t="s">
        <v>3707</v>
      </c>
      <c r="H136" s="420" t="s">
        <v>3708</v>
      </c>
      <c r="I136" s="416">
        <v>1489126</v>
      </c>
      <c r="J136" s="916">
        <v>2487965</v>
      </c>
    </row>
    <row r="137" spans="1:10" s="40" customFormat="1">
      <c r="A137" s="410">
        <v>220</v>
      </c>
      <c r="B137" s="417">
        <v>400</v>
      </c>
      <c r="C137" s="422">
        <v>300</v>
      </c>
      <c r="D137" s="428"/>
      <c r="E137" s="428"/>
      <c r="F137" s="429"/>
      <c r="G137" s="423" t="s">
        <v>3709</v>
      </c>
      <c r="H137" s="420" t="s">
        <v>3710</v>
      </c>
      <c r="I137" s="416">
        <v>11719320</v>
      </c>
      <c r="J137" s="416">
        <v>14812075</v>
      </c>
    </row>
    <row r="138" spans="1:10" s="40" customFormat="1">
      <c r="A138" s="410">
        <v>220</v>
      </c>
      <c r="B138" s="417">
        <v>400</v>
      </c>
      <c r="C138" s="417">
        <v>400</v>
      </c>
      <c r="D138" s="448"/>
      <c r="E138" s="448"/>
      <c r="F138" s="449"/>
      <c r="G138" s="419" t="s">
        <v>3711</v>
      </c>
      <c r="H138" s="420" t="s">
        <v>3712</v>
      </c>
      <c r="I138" s="421"/>
      <c r="J138" s="421"/>
    </row>
    <row r="139" spans="1:10" s="40" customFormat="1">
      <c r="A139" s="410">
        <v>220</v>
      </c>
      <c r="B139" s="417">
        <v>400</v>
      </c>
      <c r="C139" s="417">
        <v>400</v>
      </c>
      <c r="D139" s="422">
        <v>100</v>
      </c>
      <c r="E139" s="428"/>
      <c r="F139" s="429"/>
      <c r="G139" s="426" t="s">
        <v>3713</v>
      </c>
      <c r="H139" s="420"/>
      <c r="I139" s="416">
        <v>111518</v>
      </c>
      <c r="J139" s="416">
        <v>87702</v>
      </c>
    </row>
    <row r="140" spans="1:10" s="40" customFormat="1">
      <c r="A140" s="450">
        <v>220</v>
      </c>
      <c r="B140" s="451">
        <v>400</v>
      </c>
      <c r="C140" s="451">
        <v>400</v>
      </c>
      <c r="D140" s="452">
        <v>900</v>
      </c>
      <c r="E140" s="453"/>
      <c r="F140" s="454"/>
      <c r="G140" s="455" t="s">
        <v>3714</v>
      </c>
      <c r="H140" s="420"/>
      <c r="I140" s="416">
        <v>2710980</v>
      </c>
      <c r="J140" s="416">
        <v>2019294</v>
      </c>
    </row>
    <row r="141" spans="1:10" s="40" customFormat="1">
      <c r="A141" s="410">
        <v>220</v>
      </c>
      <c r="B141" s="417">
        <v>500</v>
      </c>
      <c r="C141" s="417"/>
      <c r="D141" s="448"/>
      <c r="E141" s="448"/>
      <c r="F141" s="449"/>
      <c r="G141" s="419" t="s">
        <v>3715</v>
      </c>
      <c r="H141" s="420"/>
      <c r="I141" s="421"/>
      <c r="J141" s="421"/>
    </row>
    <row r="142" spans="1:10" s="40" customFormat="1">
      <c r="A142" s="410">
        <v>220</v>
      </c>
      <c r="B142" s="417">
        <v>500</v>
      </c>
      <c r="C142" s="422">
        <v>100</v>
      </c>
      <c r="D142" s="428"/>
      <c r="E142" s="428"/>
      <c r="F142" s="429"/>
      <c r="G142" s="423" t="s">
        <v>3716</v>
      </c>
      <c r="H142" s="420" t="s">
        <v>3717</v>
      </c>
      <c r="I142" s="416"/>
      <c r="J142" s="416"/>
    </row>
    <row r="143" spans="1:10" s="40" customFormat="1">
      <c r="A143" s="410">
        <v>220</v>
      </c>
      <c r="B143" s="417">
        <v>500</v>
      </c>
      <c r="C143" s="417">
        <v>200</v>
      </c>
      <c r="D143" s="448"/>
      <c r="E143" s="448"/>
      <c r="F143" s="449"/>
      <c r="G143" s="419" t="s">
        <v>3718</v>
      </c>
      <c r="H143" s="420"/>
      <c r="I143" s="421"/>
      <c r="J143" s="421"/>
    </row>
    <row r="144" spans="1:10" s="40" customFormat="1">
      <c r="A144" s="410">
        <v>220</v>
      </c>
      <c r="B144" s="417">
        <v>500</v>
      </c>
      <c r="C144" s="417">
        <v>200</v>
      </c>
      <c r="D144" s="422">
        <v>100</v>
      </c>
      <c r="E144" s="422"/>
      <c r="F144" s="425"/>
      <c r="G144" s="423" t="s">
        <v>3719</v>
      </c>
      <c r="H144" s="420" t="s">
        <v>3720</v>
      </c>
      <c r="I144" s="416">
        <v>2468500</v>
      </c>
      <c r="J144" s="416">
        <v>1447728</v>
      </c>
    </row>
    <row r="145" spans="1:10" s="40" customFormat="1">
      <c r="A145" s="410">
        <v>220</v>
      </c>
      <c r="B145" s="417">
        <v>500</v>
      </c>
      <c r="C145" s="417">
        <v>200</v>
      </c>
      <c r="D145" s="422">
        <v>200</v>
      </c>
      <c r="E145" s="422"/>
      <c r="F145" s="425"/>
      <c r="G145" s="423" t="s">
        <v>3721</v>
      </c>
      <c r="H145" s="420" t="s">
        <v>3722</v>
      </c>
      <c r="I145" s="416"/>
      <c r="J145" s="416"/>
    </row>
    <row r="146" spans="1:10" s="40" customFormat="1">
      <c r="A146" s="410">
        <v>220</v>
      </c>
      <c r="B146" s="417">
        <v>500</v>
      </c>
      <c r="C146" s="417">
        <v>200</v>
      </c>
      <c r="D146" s="422">
        <v>300</v>
      </c>
      <c r="E146" s="422"/>
      <c r="F146" s="425"/>
      <c r="G146" s="423" t="s">
        <v>3723</v>
      </c>
      <c r="H146" s="420" t="s">
        <v>3724</v>
      </c>
      <c r="I146" s="416"/>
      <c r="J146" s="416"/>
    </row>
    <row r="147" spans="1:10" s="40" customFormat="1">
      <c r="A147" s="410">
        <v>220</v>
      </c>
      <c r="B147" s="417">
        <v>500</v>
      </c>
      <c r="C147" s="417">
        <v>900</v>
      </c>
      <c r="D147" s="417"/>
      <c r="E147" s="417"/>
      <c r="F147" s="449"/>
      <c r="G147" s="456" t="s">
        <v>3725</v>
      </c>
      <c r="H147" s="420" t="s">
        <v>3726</v>
      </c>
      <c r="I147" s="421"/>
      <c r="J147" s="421"/>
    </row>
    <row r="148" spans="1:10" s="40" customFormat="1">
      <c r="A148" s="410">
        <v>220</v>
      </c>
      <c r="B148" s="417">
        <v>500</v>
      </c>
      <c r="C148" s="417">
        <v>900</v>
      </c>
      <c r="D148" s="422">
        <v>100</v>
      </c>
      <c r="E148" s="428"/>
      <c r="F148" s="429"/>
      <c r="G148" s="426" t="s">
        <v>3727</v>
      </c>
      <c r="H148" s="415"/>
      <c r="I148" s="416">
        <v>571665</v>
      </c>
      <c r="J148" s="416">
        <v>528652</v>
      </c>
    </row>
    <row r="149" spans="1:10" s="40" customFormat="1">
      <c r="A149" s="410">
        <v>220</v>
      </c>
      <c r="B149" s="417">
        <v>500</v>
      </c>
      <c r="C149" s="417">
        <v>900</v>
      </c>
      <c r="D149" s="422">
        <v>900</v>
      </c>
      <c r="E149" s="422"/>
      <c r="F149" s="425"/>
      <c r="G149" s="426" t="s">
        <v>3725</v>
      </c>
      <c r="H149" s="420"/>
      <c r="I149" s="416">
        <v>0</v>
      </c>
      <c r="J149" s="416">
        <v>165000</v>
      </c>
    </row>
    <row r="150" spans="1:10" s="40" customFormat="1">
      <c r="A150" s="410">
        <v>220</v>
      </c>
      <c r="B150" s="417">
        <v>500</v>
      </c>
      <c r="C150" s="417">
        <v>950</v>
      </c>
      <c r="D150" s="411"/>
      <c r="E150" s="411"/>
      <c r="F150" s="443"/>
      <c r="G150" s="457" t="s">
        <v>3728</v>
      </c>
      <c r="H150" s="420" t="s">
        <v>3729</v>
      </c>
      <c r="I150" s="416">
        <v>126932</v>
      </c>
      <c r="J150" s="416"/>
    </row>
    <row r="151" spans="1:10" s="40" customFormat="1">
      <c r="A151" s="444">
        <v>230</v>
      </c>
      <c r="B151" s="445">
        <v>0</v>
      </c>
      <c r="C151" s="445">
        <v>0</v>
      </c>
      <c r="D151" s="445">
        <v>0</v>
      </c>
      <c r="E151" s="445">
        <v>0</v>
      </c>
      <c r="F151" s="446">
        <v>0</v>
      </c>
      <c r="G151" s="447" t="s">
        <v>3730</v>
      </c>
      <c r="H151" s="436"/>
      <c r="I151" s="437"/>
      <c r="J151" s="437"/>
    </row>
    <row r="152" spans="1:10" s="40" customFormat="1">
      <c r="A152" s="458">
        <v>230</v>
      </c>
      <c r="B152" s="422">
        <v>100</v>
      </c>
      <c r="C152" s="422"/>
      <c r="D152" s="422"/>
      <c r="E152" s="422"/>
      <c r="F152" s="425"/>
      <c r="G152" s="423" t="s">
        <v>3731</v>
      </c>
      <c r="H152" s="420" t="s">
        <v>3732</v>
      </c>
      <c r="I152" s="416"/>
      <c r="J152" s="416"/>
    </row>
    <row r="153" spans="1:10" s="409" customFormat="1">
      <c r="A153" s="458">
        <v>230</v>
      </c>
      <c r="B153" s="422">
        <v>200</v>
      </c>
      <c r="C153" s="422"/>
      <c r="D153" s="422"/>
      <c r="E153" s="422"/>
      <c r="F153" s="425"/>
      <c r="G153" s="423" t="s">
        <v>3733</v>
      </c>
      <c r="H153" s="420" t="s">
        <v>3734</v>
      </c>
      <c r="I153" s="416"/>
      <c r="J153" s="416"/>
    </row>
    <row r="154" spans="1:10" s="40" customFormat="1">
      <c r="A154" s="459">
        <v>230</v>
      </c>
      <c r="B154" s="422">
        <v>300</v>
      </c>
      <c r="C154" s="422"/>
      <c r="D154" s="411"/>
      <c r="E154" s="411"/>
      <c r="F154" s="443"/>
      <c r="G154" s="460" t="s">
        <v>3735</v>
      </c>
      <c r="H154" s="420" t="s">
        <v>3736</v>
      </c>
      <c r="I154" s="416"/>
      <c r="J154" s="416"/>
    </row>
    <row r="155" spans="1:10" s="40" customFormat="1">
      <c r="A155" s="444">
        <v>240</v>
      </c>
      <c r="B155" s="445">
        <v>0</v>
      </c>
      <c r="C155" s="445">
        <v>0</v>
      </c>
      <c r="D155" s="445">
        <v>0</v>
      </c>
      <c r="E155" s="445">
        <v>0</v>
      </c>
      <c r="F155" s="446">
        <v>0</v>
      </c>
      <c r="G155" s="447" t="s">
        <v>3737</v>
      </c>
      <c r="H155" s="436"/>
      <c r="I155" s="437"/>
      <c r="J155" s="437"/>
    </row>
    <row r="156" spans="1:10" s="40" customFormat="1">
      <c r="A156" s="458">
        <v>240</v>
      </c>
      <c r="B156" s="422">
        <v>50</v>
      </c>
      <c r="C156" s="422"/>
      <c r="D156" s="422"/>
      <c r="E156" s="422"/>
      <c r="F156" s="425"/>
      <c r="G156" s="423" t="s">
        <v>3738</v>
      </c>
      <c r="H156" s="420" t="s">
        <v>3739</v>
      </c>
      <c r="I156" s="416"/>
      <c r="J156" s="416"/>
    </row>
    <row r="157" spans="1:10" s="409" customFormat="1">
      <c r="A157" s="458">
        <v>240</v>
      </c>
      <c r="B157" s="417">
        <v>100</v>
      </c>
      <c r="C157" s="461"/>
      <c r="D157" s="417"/>
      <c r="E157" s="417"/>
      <c r="F157" s="418"/>
      <c r="G157" s="419" t="s">
        <v>3740</v>
      </c>
      <c r="H157" s="420" t="s">
        <v>3741</v>
      </c>
      <c r="I157" s="421"/>
      <c r="J157" s="421"/>
    </row>
    <row r="158" spans="1:10" s="40" customFormat="1">
      <c r="A158" s="458">
        <v>240</v>
      </c>
      <c r="B158" s="417">
        <v>100</v>
      </c>
      <c r="C158" s="462">
        <v>100</v>
      </c>
      <c r="D158" s="422"/>
      <c r="E158" s="422"/>
      <c r="F158" s="425"/>
      <c r="G158" s="423" t="s">
        <v>3742</v>
      </c>
      <c r="H158" s="420" t="s">
        <v>3743</v>
      </c>
      <c r="I158" s="416"/>
      <c r="J158" s="416"/>
    </row>
    <row r="159" spans="1:10" s="40" customFormat="1">
      <c r="A159" s="458">
        <v>240</v>
      </c>
      <c r="B159" s="417">
        <v>100</v>
      </c>
      <c r="C159" s="462">
        <v>200</v>
      </c>
      <c r="D159" s="422"/>
      <c r="E159" s="422"/>
      <c r="F159" s="425"/>
      <c r="G159" s="423" t="s">
        <v>3744</v>
      </c>
      <c r="H159" s="420" t="s">
        <v>3745</v>
      </c>
      <c r="I159" s="416"/>
      <c r="J159" s="416"/>
    </row>
    <row r="160" spans="1:10" s="40" customFormat="1">
      <c r="A160" s="458">
        <v>240</v>
      </c>
      <c r="B160" s="417">
        <v>100</v>
      </c>
      <c r="C160" s="462">
        <v>300</v>
      </c>
      <c r="D160" s="422"/>
      <c r="E160" s="422"/>
      <c r="F160" s="425"/>
      <c r="G160" s="423" t="s">
        <v>3746</v>
      </c>
      <c r="H160" s="420" t="s">
        <v>3747</v>
      </c>
      <c r="I160" s="416"/>
      <c r="J160" s="416"/>
    </row>
    <row r="161" spans="1:10" s="40" customFormat="1">
      <c r="A161" s="458">
        <v>240</v>
      </c>
      <c r="B161" s="417">
        <v>100</v>
      </c>
      <c r="C161" s="462">
        <v>400</v>
      </c>
      <c r="D161" s="422"/>
      <c r="E161" s="422"/>
      <c r="F161" s="425"/>
      <c r="G161" s="423" t="s">
        <v>3748</v>
      </c>
      <c r="H161" s="420" t="s">
        <v>3749</v>
      </c>
      <c r="I161" s="416"/>
      <c r="J161" s="416"/>
    </row>
    <row r="162" spans="1:10" s="40" customFormat="1">
      <c r="A162" s="458">
        <v>240</v>
      </c>
      <c r="B162" s="417">
        <v>100</v>
      </c>
      <c r="C162" s="461">
        <v>500</v>
      </c>
      <c r="D162" s="417"/>
      <c r="E162" s="417"/>
      <c r="F162" s="418"/>
      <c r="G162" s="419" t="s">
        <v>3750</v>
      </c>
      <c r="H162" s="420" t="s">
        <v>3751</v>
      </c>
      <c r="I162" s="421"/>
      <c r="J162" s="421"/>
    </row>
    <row r="163" spans="1:10" s="40" customFormat="1">
      <c r="A163" s="458">
        <v>240</v>
      </c>
      <c r="B163" s="417">
        <v>100</v>
      </c>
      <c r="C163" s="461">
        <v>500</v>
      </c>
      <c r="D163" s="422">
        <v>100</v>
      </c>
      <c r="E163" s="422"/>
      <c r="F163" s="425"/>
      <c r="G163" s="426" t="s">
        <v>3752</v>
      </c>
      <c r="H163" s="420"/>
      <c r="I163" s="416"/>
      <c r="J163" s="416"/>
    </row>
    <row r="164" spans="1:10" s="40" customFormat="1">
      <c r="A164" s="458">
        <v>240</v>
      </c>
      <c r="B164" s="417">
        <v>100</v>
      </c>
      <c r="C164" s="461">
        <v>500</v>
      </c>
      <c r="D164" s="422">
        <v>200</v>
      </c>
      <c r="E164" s="422"/>
      <c r="F164" s="425"/>
      <c r="G164" s="426" t="s">
        <v>3750</v>
      </c>
      <c r="H164" s="420"/>
      <c r="I164" s="416"/>
      <c r="J164" s="416"/>
    </row>
    <row r="165" spans="1:10" s="40" customFormat="1">
      <c r="A165" s="458">
        <v>240</v>
      </c>
      <c r="B165" s="417">
        <v>100</v>
      </c>
      <c r="C165" s="461">
        <v>500</v>
      </c>
      <c r="D165" s="422">
        <v>800</v>
      </c>
      <c r="E165" s="422"/>
      <c r="F165" s="425"/>
      <c r="G165" s="426" t="s">
        <v>3753</v>
      </c>
      <c r="H165" s="420"/>
      <c r="I165" s="416"/>
      <c r="J165" s="416"/>
    </row>
    <row r="166" spans="1:10" s="40" customFormat="1">
      <c r="A166" s="458">
        <v>240</v>
      </c>
      <c r="B166" s="417">
        <v>100</v>
      </c>
      <c r="C166" s="461">
        <v>500</v>
      </c>
      <c r="D166" s="422">
        <v>900</v>
      </c>
      <c r="E166" s="422"/>
      <c r="F166" s="425"/>
      <c r="G166" s="426" t="s">
        <v>3754</v>
      </c>
      <c r="H166" s="420"/>
      <c r="I166" s="416"/>
      <c r="J166" s="416"/>
    </row>
    <row r="167" spans="1:10" s="40" customFormat="1">
      <c r="A167" s="458">
        <v>240</v>
      </c>
      <c r="B167" s="417">
        <v>150</v>
      </c>
      <c r="C167" s="461"/>
      <c r="D167" s="417"/>
      <c r="E167" s="417"/>
      <c r="F167" s="418"/>
      <c r="G167" s="419" t="s">
        <v>3755</v>
      </c>
      <c r="H167" s="420"/>
      <c r="I167" s="421"/>
      <c r="J167" s="421"/>
    </row>
    <row r="168" spans="1:10" s="40" customFormat="1">
      <c r="A168" s="458">
        <v>240</v>
      </c>
      <c r="B168" s="417">
        <v>150</v>
      </c>
      <c r="C168" s="462">
        <v>100</v>
      </c>
      <c r="D168" s="422"/>
      <c r="E168" s="422"/>
      <c r="F168" s="425"/>
      <c r="G168" s="423" t="s">
        <v>3756</v>
      </c>
      <c r="H168" s="420" t="s">
        <v>3757</v>
      </c>
      <c r="I168" s="416"/>
      <c r="J168" s="416"/>
    </row>
    <row r="169" spans="1:10" s="40" customFormat="1">
      <c r="A169" s="458">
        <v>240</v>
      </c>
      <c r="B169" s="417">
        <v>150</v>
      </c>
      <c r="C169" s="462">
        <v>150</v>
      </c>
      <c r="D169" s="422"/>
      <c r="E169" s="422"/>
      <c r="F169" s="425"/>
      <c r="G169" s="423" t="s">
        <v>3758</v>
      </c>
      <c r="H169" s="420" t="s">
        <v>3759</v>
      </c>
      <c r="I169" s="416"/>
      <c r="J169" s="416">
        <v>1622961</v>
      </c>
    </row>
    <row r="170" spans="1:10" s="40" customFormat="1" ht="25.5">
      <c r="A170" s="458">
        <v>240</v>
      </c>
      <c r="B170" s="417">
        <v>150</v>
      </c>
      <c r="C170" s="462">
        <v>200</v>
      </c>
      <c r="D170" s="422"/>
      <c r="E170" s="422"/>
      <c r="F170" s="425"/>
      <c r="G170" s="423" t="s">
        <v>3760</v>
      </c>
      <c r="H170" s="420" t="s">
        <v>3761</v>
      </c>
      <c r="I170" s="416"/>
      <c r="J170" s="416"/>
    </row>
    <row r="171" spans="1:10" s="40" customFormat="1" ht="25.5">
      <c r="A171" s="458">
        <v>240</v>
      </c>
      <c r="B171" s="417">
        <v>150</v>
      </c>
      <c r="C171" s="462">
        <v>300</v>
      </c>
      <c r="D171" s="422"/>
      <c r="E171" s="422"/>
      <c r="F171" s="425"/>
      <c r="G171" s="423" t="s">
        <v>3762</v>
      </c>
      <c r="H171" s="420" t="s">
        <v>3763</v>
      </c>
      <c r="I171" s="416">
        <v>0</v>
      </c>
      <c r="J171" s="416">
        <v>407108</v>
      </c>
    </row>
    <row r="172" spans="1:10" s="40" customFormat="1" ht="25.5">
      <c r="A172" s="458">
        <v>240</v>
      </c>
      <c r="B172" s="417">
        <v>150</v>
      </c>
      <c r="C172" s="462">
        <v>350</v>
      </c>
      <c r="D172" s="422"/>
      <c r="E172" s="422"/>
      <c r="F172" s="425"/>
      <c r="G172" s="423" t="s">
        <v>3764</v>
      </c>
      <c r="H172" s="420" t="s">
        <v>3765</v>
      </c>
      <c r="I172" s="416"/>
      <c r="J172" s="416"/>
    </row>
    <row r="173" spans="1:10" s="40" customFormat="1">
      <c r="A173" s="458">
        <v>240</v>
      </c>
      <c r="B173" s="417">
        <v>150</v>
      </c>
      <c r="C173" s="462">
        <v>400</v>
      </c>
      <c r="D173" s="422"/>
      <c r="E173" s="422"/>
      <c r="F173" s="425"/>
      <c r="G173" s="423" t="s">
        <v>3766</v>
      </c>
      <c r="H173" s="420" t="s">
        <v>3767</v>
      </c>
      <c r="I173" s="416"/>
      <c r="J173" s="416"/>
    </row>
    <row r="174" spans="1:10" s="40" customFormat="1" ht="33" customHeight="1">
      <c r="A174" s="458">
        <v>240</v>
      </c>
      <c r="B174" s="417">
        <v>150</v>
      </c>
      <c r="C174" s="462">
        <v>410</v>
      </c>
      <c r="D174" s="422"/>
      <c r="E174" s="422"/>
      <c r="F174" s="425"/>
      <c r="G174" s="423" t="s">
        <v>3768</v>
      </c>
      <c r="H174" s="420" t="s">
        <v>3769</v>
      </c>
      <c r="I174" s="416"/>
      <c r="J174" s="416"/>
    </row>
    <row r="175" spans="1:10" s="40" customFormat="1">
      <c r="A175" s="458">
        <v>240</v>
      </c>
      <c r="B175" s="417">
        <v>150</v>
      </c>
      <c r="C175" s="462">
        <v>420</v>
      </c>
      <c r="D175" s="422"/>
      <c r="E175" s="422"/>
      <c r="F175" s="425"/>
      <c r="G175" s="423" t="s">
        <v>3770</v>
      </c>
      <c r="H175" s="420" t="s">
        <v>3771</v>
      </c>
      <c r="I175" s="416"/>
      <c r="J175" s="416"/>
    </row>
    <row r="176" spans="1:10" s="40" customFormat="1">
      <c r="A176" s="458">
        <v>240</v>
      </c>
      <c r="B176" s="417">
        <v>150</v>
      </c>
      <c r="C176" s="462">
        <v>430</v>
      </c>
      <c r="D176" s="422"/>
      <c r="E176" s="422"/>
      <c r="F176" s="425"/>
      <c r="G176" s="423" t="s">
        <v>3772</v>
      </c>
      <c r="H176" s="420" t="s">
        <v>3773</v>
      </c>
      <c r="I176" s="416"/>
      <c r="J176" s="416"/>
    </row>
    <row r="177" spans="1:10" s="40" customFormat="1">
      <c r="A177" s="458">
        <v>240</v>
      </c>
      <c r="B177" s="417">
        <v>150</v>
      </c>
      <c r="C177" s="461">
        <v>500</v>
      </c>
      <c r="D177" s="417"/>
      <c r="E177" s="417"/>
      <c r="F177" s="418"/>
      <c r="G177" s="423" t="s">
        <v>3774</v>
      </c>
      <c r="H177" s="420" t="s">
        <v>3775</v>
      </c>
      <c r="I177" s="421"/>
      <c r="J177" s="421"/>
    </row>
    <row r="178" spans="1:10" s="40" customFormat="1">
      <c r="A178" s="458">
        <v>240</v>
      </c>
      <c r="B178" s="417">
        <v>150</v>
      </c>
      <c r="C178" s="461">
        <v>500</v>
      </c>
      <c r="D178" s="422">
        <v>100</v>
      </c>
      <c r="E178" s="422"/>
      <c r="F178" s="425"/>
      <c r="G178" s="426" t="s">
        <v>3776</v>
      </c>
      <c r="H178" s="420"/>
      <c r="I178" s="416"/>
      <c r="J178" s="416"/>
    </row>
    <row r="179" spans="1:10" s="40" customFormat="1" ht="25.5">
      <c r="A179" s="458">
        <v>240</v>
      </c>
      <c r="B179" s="417">
        <v>150</v>
      </c>
      <c r="C179" s="461">
        <v>500</v>
      </c>
      <c r="D179" s="422">
        <v>200</v>
      </c>
      <c r="E179" s="422"/>
      <c r="F179" s="425"/>
      <c r="G179" s="426" t="s">
        <v>3777</v>
      </c>
      <c r="H179" s="420"/>
      <c r="I179" s="416"/>
      <c r="J179" s="416"/>
    </row>
    <row r="180" spans="1:10" s="40" customFormat="1">
      <c r="A180" s="458">
        <v>240</v>
      </c>
      <c r="B180" s="417">
        <v>150</v>
      </c>
      <c r="C180" s="461">
        <v>500</v>
      </c>
      <c r="D180" s="422">
        <v>300</v>
      </c>
      <c r="E180" s="422"/>
      <c r="F180" s="425"/>
      <c r="G180" s="426" t="s">
        <v>3774</v>
      </c>
      <c r="H180" s="420"/>
      <c r="I180" s="416">
        <v>0</v>
      </c>
      <c r="J180" s="416">
        <v>16834</v>
      </c>
    </row>
    <row r="181" spans="1:10" s="40" customFormat="1">
      <c r="A181" s="458">
        <v>240</v>
      </c>
      <c r="B181" s="417">
        <v>150</v>
      </c>
      <c r="C181" s="461">
        <v>500</v>
      </c>
      <c r="D181" s="422">
        <v>800</v>
      </c>
      <c r="E181" s="422"/>
      <c r="F181" s="425"/>
      <c r="G181" s="426" t="s">
        <v>3778</v>
      </c>
      <c r="H181" s="420"/>
      <c r="I181" s="416"/>
      <c r="J181" s="416"/>
    </row>
    <row r="182" spans="1:10" s="40" customFormat="1">
      <c r="A182" s="458">
        <v>240</v>
      </c>
      <c r="B182" s="417">
        <v>150</v>
      </c>
      <c r="C182" s="461">
        <v>500</v>
      </c>
      <c r="D182" s="422">
        <v>900</v>
      </c>
      <c r="E182" s="422"/>
      <c r="F182" s="425"/>
      <c r="G182" s="426" t="s">
        <v>3753</v>
      </c>
      <c r="H182" s="420"/>
      <c r="I182" s="416"/>
      <c r="J182" s="416"/>
    </row>
    <row r="183" spans="1:10" s="40" customFormat="1">
      <c r="A183" s="458">
        <v>240</v>
      </c>
      <c r="B183" s="417">
        <v>200</v>
      </c>
      <c r="C183" s="417"/>
      <c r="D183" s="417"/>
      <c r="E183" s="417"/>
      <c r="F183" s="418"/>
      <c r="G183" s="419" t="s">
        <v>3779</v>
      </c>
      <c r="H183" s="420" t="s">
        <v>3780</v>
      </c>
      <c r="I183" s="421"/>
      <c r="J183" s="421"/>
    </row>
    <row r="184" spans="1:10" s="40" customFormat="1">
      <c r="A184" s="458">
        <v>240</v>
      </c>
      <c r="B184" s="417">
        <v>200</v>
      </c>
      <c r="C184" s="422">
        <v>100</v>
      </c>
      <c r="D184" s="422"/>
      <c r="E184" s="422"/>
      <c r="F184" s="425"/>
      <c r="G184" s="426" t="s">
        <v>3781</v>
      </c>
      <c r="H184" s="420"/>
      <c r="I184" s="416"/>
      <c r="J184" s="416"/>
    </row>
    <row r="185" spans="1:10" s="40" customFormat="1">
      <c r="A185" s="458">
        <v>240</v>
      </c>
      <c r="B185" s="417">
        <v>200</v>
      </c>
      <c r="C185" s="422">
        <v>200</v>
      </c>
      <c r="D185" s="422"/>
      <c r="E185" s="422"/>
      <c r="F185" s="425"/>
      <c r="G185" s="426" t="s">
        <v>3782</v>
      </c>
      <c r="H185" s="420"/>
      <c r="I185" s="416"/>
      <c r="J185" s="416"/>
    </row>
    <row r="186" spans="1:10" s="40" customFormat="1">
      <c r="A186" s="458">
        <v>240</v>
      </c>
      <c r="B186" s="417">
        <v>200</v>
      </c>
      <c r="C186" s="422">
        <v>800</v>
      </c>
      <c r="D186" s="422"/>
      <c r="E186" s="422"/>
      <c r="F186" s="425"/>
      <c r="G186" s="426" t="s">
        <v>3778</v>
      </c>
      <c r="H186" s="420"/>
      <c r="I186" s="416"/>
      <c r="J186" s="416"/>
    </row>
    <row r="187" spans="1:10" s="40" customFormat="1">
      <c r="A187" s="458">
        <v>240</v>
      </c>
      <c r="B187" s="417">
        <v>200</v>
      </c>
      <c r="C187" s="422">
        <v>900</v>
      </c>
      <c r="D187" s="422"/>
      <c r="E187" s="422"/>
      <c r="F187" s="425"/>
      <c r="G187" s="426" t="s">
        <v>3753</v>
      </c>
      <c r="H187" s="420"/>
      <c r="I187" s="416"/>
      <c r="J187" s="416"/>
    </row>
    <row r="188" spans="1:10" s="40" customFormat="1">
      <c r="A188" s="458">
        <v>240</v>
      </c>
      <c r="B188" s="417">
        <v>250</v>
      </c>
      <c r="C188" s="417"/>
      <c r="D188" s="417"/>
      <c r="E188" s="417"/>
      <c r="F188" s="418"/>
      <c r="G188" s="419" t="s">
        <v>3783</v>
      </c>
      <c r="H188" s="420" t="s">
        <v>3784</v>
      </c>
      <c r="I188" s="421"/>
      <c r="J188" s="421"/>
    </row>
    <row r="189" spans="1:10" s="40" customFormat="1">
      <c r="A189" s="458">
        <v>240</v>
      </c>
      <c r="B189" s="417">
        <v>250</v>
      </c>
      <c r="C189" s="417">
        <v>100</v>
      </c>
      <c r="D189" s="417"/>
      <c r="E189" s="417"/>
      <c r="F189" s="418"/>
      <c r="G189" s="419" t="s">
        <v>3785</v>
      </c>
      <c r="H189" s="420" t="s">
        <v>3786</v>
      </c>
      <c r="I189" s="421"/>
      <c r="J189" s="421"/>
    </row>
    <row r="190" spans="1:10" s="40" customFormat="1">
      <c r="A190" s="458">
        <v>240</v>
      </c>
      <c r="B190" s="417">
        <v>250</v>
      </c>
      <c r="C190" s="417">
        <v>100</v>
      </c>
      <c r="D190" s="422">
        <v>100</v>
      </c>
      <c r="E190" s="422"/>
      <c r="F190" s="425"/>
      <c r="G190" s="423" t="s">
        <v>3787</v>
      </c>
      <c r="H190" s="420" t="s">
        <v>3788</v>
      </c>
      <c r="I190" s="416"/>
      <c r="J190" s="416"/>
    </row>
    <row r="191" spans="1:10" s="40" customFormat="1" ht="25.5">
      <c r="A191" s="458">
        <v>240</v>
      </c>
      <c r="B191" s="417">
        <v>250</v>
      </c>
      <c r="C191" s="417">
        <v>100</v>
      </c>
      <c r="D191" s="422">
        <v>200</v>
      </c>
      <c r="E191" s="422"/>
      <c r="F191" s="425"/>
      <c r="G191" s="423" t="s">
        <v>3789</v>
      </c>
      <c r="H191" s="420" t="s">
        <v>3790</v>
      </c>
      <c r="I191" s="416"/>
      <c r="J191" s="416"/>
    </row>
    <row r="192" spans="1:10" s="40" customFormat="1" ht="25.5">
      <c r="A192" s="458">
        <v>240</v>
      </c>
      <c r="B192" s="417">
        <v>250</v>
      </c>
      <c r="C192" s="417">
        <v>100</v>
      </c>
      <c r="D192" s="422">
        <v>300</v>
      </c>
      <c r="E192" s="422"/>
      <c r="F192" s="425"/>
      <c r="G192" s="423" t="s">
        <v>3791</v>
      </c>
      <c r="H192" s="420" t="s">
        <v>3792</v>
      </c>
      <c r="I192" s="416"/>
      <c r="J192" s="416"/>
    </row>
    <row r="193" spans="1:10" s="40" customFormat="1" ht="25.5">
      <c r="A193" s="458">
        <v>240</v>
      </c>
      <c r="B193" s="417">
        <v>250</v>
      </c>
      <c r="C193" s="417">
        <v>100</v>
      </c>
      <c r="D193" s="422">
        <v>400</v>
      </c>
      <c r="E193" s="422"/>
      <c r="F193" s="425"/>
      <c r="G193" s="423" t="s">
        <v>3793</v>
      </c>
      <c r="H193" s="420" t="s">
        <v>3794</v>
      </c>
      <c r="I193" s="416">
        <v>0</v>
      </c>
      <c r="J193" s="416">
        <v>165102</v>
      </c>
    </row>
    <row r="194" spans="1:10" s="40" customFormat="1" ht="25.5">
      <c r="A194" s="458">
        <v>240</v>
      </c>
      <c r="B194" s="417">
        <v>250</v>
      </c>
      <c r="C194" s="417">
        <v>100</v>
      </c>
      <c r="D194" s="417">
        <v>500</v>
      </c>
      <c r="E194" s="417"/>
      <c r="F194" s="418"/>
      <c r="G194" s="419" t="s">
        <v>3795</v>
      </c>
      <c r="H194" s="420" t="s">
        <v>3796</v>
      </c>
      <c r="I194" s="421"/>
      <c r="J194" s="421"/>
    </row>
    <row r="195" spans="1:10" s="40" customFormat="1" ht="25.5">
      <c r="A195" s="458">
        <v>240</v>
      </c>
      <c r="B195" s="417">
        <v>250</v>
      </c>
      <c r="C195" s="417">
        <v>100</v>
      </c>
      <c r="D195" s="417">
        <v>500</v>
      </c>
      <c r="E195" s="422">
        <v>10</v>
      </c>
      <c r="F195" s="425"/>
      <c r="G195" s="426" t="s">
        <v>3795</v>
      </c>
      <c r="H195" s="420"/>
      <c r="I195" s="416">
        <v>2755499</v>
      </c>
      <c r="J195" s="416">
        <v>1386349</v>
      </c>
    </row>
    <row r="196" spans="1:10" s="40" customFormat="1">
      <c r="A196" s="458">
        <v>240</v>
      </c>
      <c r="B196" s="417">
        <v>250</v>
      </c>
      <c r="C196" s="417">
        <v>100</v>
      </c>
      <c r="D196" s="417">
        <v>500</v>
      </c>
      <c r="E196" s="422">
        <v>80</v>
      </c>
      <c r="F196" s="425"/>
      <c r="G196" s="426" t="s">
        <v>3778</v>
      </c>
      <c r="H196" s="420"/>
      <c r="I196" s="416">
        <v>211696</v>
      </c>
      <c r="J196" s="416">
        <v>332042</v>
      </c>
    </row>
    <row r="197" spans="1:10" s="40" customFormat="1">
      <c r="A197" s="458">
        <v>240</v>
      </c>
      <c r="B197" s="417">
        <v>250</v>
      </c>
      <c r="C197" s="417">
        <v>100</v>
      </c>
      <c r="D197" s="417">
        <v>500</v>
      </c>
      <c r="E197" s="422">
        <v>90</v>
      </c>
      <c r="F197" s="425"/>
      <c r="G197" s="426" t="s">
        <v>3753</v>
      </c>
      <c r="H197" s="420"/>
      <c r="I197" s="416"/>
      <c r="J197" s="416"/>
    </row>
    <row r="198" spans="1:10" s="40" customFormat="1">
      <c r="A198" s="458">
        <v>240</v>
      </c>
      <c r="B198" s="417">
        <v>250</v>
      </c>
      <c r="C198" s="417">
        <v>100</v>
      </c>
      <c r="D198" s="417">
        <v>600</v>
      </c>
      <c r="E198" s="417"/>
      <c r="F198" s="418"/>
      <c r="G198" s="419" t="s">
        <v>3797</v>
      </c>
      <c r="H198" s="420" t="s">
        <v>3798</v>
      </c>
      <c r="I198" s="421"/>
      <c r="J198" s="421"/>
    </row>
    <row r="199" spans="1:10" s="40" customFormat="1">
      <c r="A199" s="458">
        <v>240</v>
      </c>
      <c r="B199" s="417">
        <v>250</v>
      </c>
      <c r="C199" s="417">
        <v>100</v>
      </c>
      <c r="D199" s="417">
        <v>600</v>
      </c>
      <c r="E199" s="422">
        <v>10</v>
      </c>
      <c r="F199" s="425"/>
      <c r="G199" s="426" t="s">
        <v>3799</v>
      </c>
      <c r="H199" s="420"/>
      <c r="I199" s="416">
        <v>6279895</v>
      </c>
      <c r="J199" s="416">
        <v>2371265</v>
      </c>
    </row>
    <row r="200" spans="1:10" s="40" customFormat="1">
      <c r="A200" s="458">
        <v>240</v>
      </c>
      <c r="B200" s="417">
        <v>250</v>
      </c>
      <c r="C200" s="417">
        <v>100</v>
      </c>
      <c r="D200" s="417">
        <v>600</v>
      </c>
      <c r="E200" s="422">
        <v>80</v>
      </c>
      <c r="F200" s="425"/>
      <c r="G200" s="426" t="s">
        <v>3778</v>
      </c>
      <c r="H200" s="420"/>
      <c r="I200" s="416">
        <v>5098</v>
      </c>
      <c r="J200" s="416">
        <v>6910</v>
      </c>
    </row>
    <row r="201" spans="1:10" s="40" customFormat="1">
      <c r="A201" s="458">
        <v>240</v>
      </c>
      <c r="B201" s="417">
        <v>250</v>
      </c>
      <c r="C201" s="417">
        <v>100</v>
      </c>
      <c r="D201" s="417">
        <v>600</v>
      </c>
      <c r="E201" s="422">
        <v>90</v>
      </c>
      <c r="F201" s="425"/>
      <c r="G201" s="426" t="s">
        <v>3753</v>
      </c>
      <c r="H201" s="420"/>
      <c r="I201" s="416"/>
      <c r="J201" s="416"/>
    </row>
    <row r="202" spans="1:10" s="40" customFormat="1" ht="25.5">
      <c r="A202" s="458">
        <v>240</v>
      </c>
      <c r="B202" s="417">
        <v>250</v>
      </c>
      <c r="C202" s="417">
        <v>100</v>
      </c>
      <c r="D202" s="417">
        <v>700</v>
      </c>
      <c r="E202" s="422"/>
      <c r="F202" s="425"/>
      <c r="G202" s="426" t="s">
        <v>3800</v>
      </c>
      <c r="H202" s="420" t="s">
        <v>3801</v>
      </c>
      <c r="I202" s="416"/>
      <c r="J202" s="416"/>
    </row>
    <row r="203" spans="1:10" s="40" customFormat="1" ht="25.5">
      <c r="A203" s="458">
        <v>240</v>
      </c>
      <c r="B203" s="417">
        <v>250</v>
      </c>
      <c r="C203" s="417">
        <v>100</v>
      </c>
      <c r="D203" s="417">
        <v>800</v>
      </c>
      <c r="E203" s="422"/>
      <c r="F203" s="425"/>
      <c r="G203" s="426" t="s">
        <v>3802</v>
      </c>
      <c r="H203" s="420" t="s">
        <v>3803</v>
      </c>
      <c r="I203" s="416"/>
      <c r="J203" s="416"/>
    </row>
    <row r="204" spans="1:10" s="40" customFormat="1" ht="25.5">
      <c r="A204" s="458">
        <v>240</v>
      </c>
      <c r="B204" s="417">
        <v>250</v>
      </c>
      <c r="C204" s="417">
        <v>100</v>
      </c>
      <c r="D204" s="417">
        <v>900</v>
      </c>
      <c r="E204" s="422"/>
      <c r="F204" s="425"/>
      <c r="G204" s="426" t="s">
        <v>3804</v>
      </c>
      <c r="H204" s="420" t="s">
        <v>3805</v>
      </c>
      <c r="I204" s="416"/>
      <c r="J204" s="416"/>
    </row>
    <row r="205" spans="1:10" s="40" customFormat="1">
      <c r="A205" s="458">
        <v>240</v>
      </c>
      <c r="B205" s="417">
        <v>250</v>
      </c>
      <c r="C205" s="417">
        <v>200</v>
      </c>
      <c r="D205" s="417"/>
      <c r="E205" s="417"/>
      <c r="F205" s="418"/>
      <c r="G205" s="419" t="s">
        <v>3806</v>
      </c>
      <c r="H205" s="420" t="s">
        <v>3807</v>
      </c>
      <c r="I205" s="421"/>
      <c r="J205" s="421"/>
    </row>
    <row r="206" spans="1:10" s="40" customFormat="1">
      <c r="A206" s="458">
        <v>240</v>
      </c>
      <c r="B206" s="417">
        <v>250</v>
      </c>
      <c r="C206" s="417">
        <v>200</v>
      </c>
      <c r="D206" s="422">
        <v>100</v>
      </c>
      <c r="E206" s="422"/>
      <c r="F206" s="425"/>
      <c r="G206" s="426" t="s">
        <v>3808</v>
      </c>
      <c r="H206" s="420"/>
      <c r="I206" s="416">
        <v>45416</v>
      </c>
      <c r="J206" s="416">
        <v>49938</v>
      </c>
    </row>
    <row r="207" spans="1:10" s="40" customFormat="1">
      <c r="A207" s="458">
        <v>240</v>
      </c>
      <c r="B207" s="417">
        <v>250</v>
      </c>
      <c r="C207" s="417">
        <v>200</v>
      </c>
      <c r="D207" s="422">
        <v>800</v>
      </c>
      <c r="E207" s="422"/>
      <c r="F207" s="425"/>
      <c r="G207" s="426" t="s">
        <v>3778</v>
      </c>
      <c r="H207" s="420"/>
      <c r="I207" s="416">
        <v>54958</v>
      </c>
      <c r="J207" s="416">
        <v>58212</v>
      </c>
    </row>
    <row r="208" spans="1:10" s="40" customFormat="1">
      <c r="A208" s="458">
        <v>240</v>
      </c>
      <c r="B208" s="417">
        <v>250</v>
      </c>
      <c r="C208" s="417">
        <v>200</v>
      </c>
      <c r="D208" s="422">
        <v>900</v>
      </c>
      <c r="E208" s="422"/>
      <c r="F208" s="425"/>
      <c r="G208" s="426" t="s">
        <v>3753</v>
      </c>
      <c r="H208" s="420"/>
      <c r="I208" s="416"/>
      <c r="J208" s="416"/>
    </row>
    <row r="209" spans="1:10" s="40" customFormat="1" ht="25.5">
      <c r="A209" s="458">
        <v>240</v>
      </c>
      <c r="B209" s="417">
        <v>250</v>
      </c>
      <c r="C209" s="417">
        <v>300</v>
      </c>
      <c r="D209" s="417"/>
      <c r="E209" s="417"/>
      <c r="F209" s="418"/>
      <c r="G209" s="419" t="s">
        <v>3809</v>
      </c>
      <c r="H209" s="420" t="s">
        <v>3810</v>
      </c>
      <c r="I209" s="421"/>
      <c r="J209" s="421"/>
    </row>
    <row r="210" spans="1:10" s="40" customFormat="1" ht="25.5">
      <c r="A210" s="458">
        <v>240</v>
      </c>
      <c r="B210" s="417">
        <v>250</v>
      </c>
      <c r="C210" s="417">
        <v>300</v>
      </c>
      <c r="D210" s="422">
        <v>100</v>
      </c>
      <c r="E210" s="422"/>
      <c r="F210" s="425"/>
      <c r="G210" s="426" t="s">
        <v>3811</v>
      </c>
      <c r="H210" s="420" t="s">
        <v>3812</v>
      </c>
      <c r="I210" s="416"/>
      <c r="J210" s="416"/>
    </row>
    <row r="211" spans="1:10" s="40" customFormat="1" ht="25.5">
      <c r="A211" s="458">
        <v>240</v>
      </c>
      <c r="B211" s="417">
        <v>250</v>
      </c>
      <c r="C211" s="417">
        <v>300</v>
      </c>
      <c r="D211" s="422">
        <v>200</v>
      </c>
      <c r="E211" s="422"/>
      <c r="F211" s="425"/>
      <c r="G211" s="426" t="s">
        <v>3813</v>
      </c>
      <c r="H211" s="420" t="s">
        <v>3814</v>
      </c>
      <c r="I211" s="416"/>
      <c r="J211" s="416"/>
    </row>
    <row r="212" spans="1:10" s="40" customFormat="1" ht="25.5">
      <c r="A212" s="458">
        <v>240</v>
      </c>
      <c r="B212" s="417">
        <v>250</v>
      </c>
      <c r="C212" s="417">
        <v>300</v>
      </c>
      <c r="D212" s="422">
        <v>300</v>
      </c>
      <c r="E212" s="422"/>
      <c r="F212" s="425"/>
      <c r="G212" s="426" t="s">
        <v>3815</v>
      </c>
      <c r="H212" s="420" t="s">
        <v>3816</v>
      </c>
      <c r="I212" s="416"/>
      <c r="J212" s="416"/>
    </row>
    <row r="213" spans="1:10" s="40" customFormat="1" ht="38.25">
      <c r="A213" s="458">
        <v>240</v>
      </c>
      <c r="B213" s="417">
        <v>250</v>
      </c>
      <c r="C213" s="417">
        <v>300</v>
      </c>
      <c r="D213" s="422">
        <v>400</v>
      </c>
      <c r="E213" s="422"/>
      <c r="F213" s="425"/>
      <c r="G213" s="426" t="s">
        <v>3817</v>
      </c>
      <c r="H213" s="420" t="s">
        <v>3818</v>
      </c>
      <c r="I213" s="416"/>
      <c r="J213" s="416"/>
    </row>
    <row r="214" spans="1:10" s="40" customFormat="1" ht="25.5">
      <c r="A214" s="458">
        <v>240</v>
      </c>
      <c r="B214" s="417">
        <v>250</v>
      </c>
      <c r="C214" s="417">
        <v>300</v>
      </c>
      <c r="D214" s="422">
        <v>500</v>
      </c>
      <c r="E214" s="422"/>
      <c r="F214" s="425"/>
      <c r="G214" s="426" t="s">
        <v>3819</v>
      </c>
      <c r="H214" s="420" t="s">
        <v>3820</v>
      </c>
      <c r="I214" s="416"/>
      <c r="J214" s="416"/>
    </row>
    <row r="215" spans="1:10" s="40" customFormat="1">
      <c r="A215" s="458">
        <v>240</v>
      </c>
      <c r="B215" s="417">
        <v>300</v>
      </c>
      <c r="C215" s="417"/>
      <c r="D215" s="417"/>
      <c r="E215" s="417"/>
      <c r="F215" s="418"/>
      <c r="G215" s="419" t="s">
        <v>3821</v>
      </c>
      <c r="H215" s="420"/>
      <c r="I215" s="421"/>
      <c r="J215" s="421"/>
    </row>
    <row r="216" spans="1:10" s="40" customFormat="1">
      <c r="A216" s="458">
        <v>240</v>
      </c>
      <c r="B216" s="417">
        <v>300</v>
      </c>
      <c r="C216" s="422">
        <v>100</v>
      </c>
      <c r="D216" s="422"/>
      <c r="E216" s="422"/>
      <c r="F216" s="425"/>
      <c r="G216" s="423" t="s">
        <v>3822</v>
      </c>
      <c r="H216" s="420" t="s">
        <v>3823</v>
      </c>
      <c r="I216" s="416"/>
      <c r="J216" s="416"/>
    </row>
    <row r="217" spans="1:10" s="40" customFormat="1">
      <c r="A217" s="458">
        <v>240</v>
      </c>
      <c r="B217" s="417">
        <v>300</v>
      </c>
      <c r="C217" s="422">
        <v>200</v>
      </c>
      <c r="D217" s="422"/>
      <c r="E217" s="422"/>
      <c r="F217" s="425"/>
      <c r="G217" s="423" t="s">
        <v>3824</v>
      </c>
      <c r="H217" s="420" t="s">
        <v>3825</v>
      </c>
      <c r="I217" s="416"/>
      <c r="J217" s="416"/>
    </row>
    <row r="218" spans="1:10" s="40" customFormat="1">
      <c r="A218" s="458">
        <v>240</v>
      </c>
      <c r="B218" s="417">
        <v>300</v>
      </c>
      <c r="C218" s="417">
        <v>300</v>
      </c>
      <c r="D218" s="417"/>
      <c r="E218" s="417"/>
      <c r="F218" s="418"/>
      <c r="G218" s="419" t="s">
        <v>3826</v>
      </c>
      <c r="H218" s="420" t="s">
        <v>3827</v>
      </c>
      <c r="I218" s="421"/>
      <c r="J218" s="421"/>
    </row>
    <row r="219" spans="1:10" s="40" customFormat="1">
      <c r="A219" s="458">
        <v>240</v>
      </c>
      <c r="B219" s="417">
        <v>300</v>
      </c>
      <c r="C219" s="417">
        <v>300</v>
      </c>
      <c r="D219" s="422">
        <v>100</v>
      </c>
      <c r="E219" s="422"/>
      <c r="F219" s="425"/>
      <c r="G219" s="426" t="s">
        <v>3826</v>
      </c>
      <c r="H219" s="420"/>
      <c r="I219" s="416"/>
      <c r="J219" s="416"/>
    </row>
    <row r="220" spans="1:10" s="40" customFormat="1">
      <c r="A220" s="458">
        <v>240</v>
      </c>
      <c r="B220" s="417">
        <v>300</v>
      </c>
      <c r="C220" s="417">
        <v>300</v>
      </c>
      <c r="D220" s="422">
        <v>800</v>
      </c>
      <c r="E220" s="422"/>
      <c r="F220" s="425"/>
      <c r="G220" s="426" t="s">
        <v>3778</v>
      </c>
      <c r="H220" s="420"/>
      <c r="I220" s="416">
        <v>77</v>
      </c>
      <c r="J220" s="416">
        <v>77</v>
      </c>
    </row>
    <row r="221" spans="1:10" s="40" customFormat="1">
      <c r="A221" s="458">
        <v>240</v>
      </c>
      <c r="B221" s="417">
        <v>300</v>
      </c>
      <c r="C221" s="417">
        <v>300</v>
      </c>
      <c r="D221" s="422">
        <v>900</v>
      </c>
      <c r="E221" s="422"/>
      <c r="F221" s="425"/>
      <c r="G221" s="426" t="s">
        <v>3753</v>
      </c>
      <c r="H221" s="420"/>
      <c r="I221" s="416"/>
      <c r="J221" s="416"/>
    </row>
    <row r="222" spans="1:10" s="40" customFormat="1">
      <c r="A222" s="458">
        <v>240</v>
      </c>
      <c r="B222" s="417">
        <v>350</v>
      </c>
      <c r="C222" s="417"/>
      <c r="D222" s="417"/>
      <c r="E222" s="417"/>
      <c r="F222" s="418"/>
      <c r="G222" s="419" t="s">
        <v>3828</v>
      </c>
      <c r="H222" s="420"/>
      <c r="I222" s="421"/>
      <c r="J222" s="421"/>
    </row>
    <row r="223" spans="1:10" s="40" customFormat="1">
      <c r="A223" s="458">
        <v>240</v>
      </c>
      <c r="B223" s="417">
        <v>350</v>
      </c>
      <c r="C223" s="417">
        <v>100</v>
      </c>
      <c r="D223" s="417"/>
      <c r="E223" s="417"/>
      <c r="F223" s="418"/>
      <c r="G223" s="419" t="s">
        <v>3829</v>
      </c>
      <c r="H223" s="420" t="s">
        <v>3830</v>
      </c>
      <c r="I223" s="421"/>
      <c r="J223" s="421"/>
    </row>
    <row r="224" spans="1:10" s="40" customFormat="1" ht="25.5">
      <c r="A224" s="458"/>
      <c r="B224" s="417"/>
      <c r="C224" s="417"/>
      <c r="D224" s="422"/>
      <c r="E224" s="422"/>
      <c r="F224" s="425"/>
      <c r="G224" s="426" t="s">
        <v>3829</v>
      </c>
      <c r="H224" s="420" t="s">
        <v>3831</v>
      </c>
      <c r="I224" s="421"/>
      <c r="J224" s="421"/>
    </row>
    <row r="225" spans="1:10" s="40" customFormat="1" ht="25.5">
      <c r="A225" s="458">
        <v>240</v>
      </c>
      <c r="B225" s="417">
        <v>350</v>
      </c>
      <c r="C225" s="417">
        <v>100</v>
      </c>
      <c r="D225" s="422">
        <v>100</v>
      </c>
      <c r="E225" s="422"/>
      <c r="F225" s="425"/>
      <c r="G225" s="426" t="s">
        <v>3829</v>
      </c>
      <c r="H225" s="420" t="s">
        <v>3831</v>
      </c>
      <c r="I225" s="416"/>
      <c r="J225" s="416"/>
    </row>
    <row r="226" spans="1:10" s="40" customFormat="1">
      <c r="A226" s="458">
        <v>240</v>
      </c>
      <c r="B226" s="417">
        <v>350</v>
      </c>
      <c r="C226" s="417">
        <v>100</v>
      </c>
      <c r="D226" s="422">
        <v>800</v>
      </c>
      <c r="E226" s="422"/>
      <c r="F226" s="425"/>
      <c r="G226" s="426" t="s">
        <v>3778</v>
      </c>
      <c r="H226" s="420" t="s">
        <v>3831</v>
      </c>
      <c r="I226" s="416"/>
      <c r="J226" s="416"/>
    </row>
    <row r="227" spans="1:10" s="40" customFormat="1">
      <c r="A227" s="458">
        <v>240</v>
      </c>
      <c r="B227" s="417">
        <v>350</v>
      </c>
      <c r="C227" s="417">
        <v>100</v>
      </c>
      <c r="D227" s="422">
        <v>900</v>
      </c>
      <c r="E227" s="422"/>
      <c r="F227" s="425"/>
      <c r="G227" s="426" t="s">
        <v>3832</v>
      </c>
      <c r="H227" s="420" t="s">
        <v>3833</v>
      </c>
      <c r="I227" s="416"/>
      <c r="J227" s="416"/>
    </row>
    <row r="228" spans="1:10" s="40" customFormat="1">
      <c r="A228" s="458">
        <v>240</v>
      </c>
      <c r="B228" s="417">
        <v>350</v>
      </c>
      <c r="C228" s="417">
        <v>200</v>
      </c>
      <c r="D228" s="417"/>
      <c r="E228" s="417"/>
      <c r="F228" s="418"/>
      <c r="G228" s="419" t="s">
        <v>3834</v>
      </c>
      <c r="H228" s="420" t="s">
        <v>3835</v>
      </c>
      <c r="I228" s="421"/>
      <c r="J228" s="421"/>
    </row>
    <row r="229" spans="1:10" s="40" customFormat="1">
      <c r="A229" s="458"/>
      <c r="B229" s="417"/>
      <c r="C229" s="417"/>
      <c r="D229" s="422"/>
      <c r="E229" s="417"/>
      <c r="F229" s="418"/>
      <c r="G229" s="419" t="s">
        <v>3834</v>
      </c>
      <c r="H229" s="420" t="s">
        <v>3836</v>
      </c>
      <c r="I229" s="421"/>
      <c r="J229" s="421"/>
    </row>
    <row r="230" spans="1:10" s="40" customFormat="1">
      <c r="A230" s="458">
        <v>240</v>
      </c>
      <c r="B230" s="417">
        <v>350</v>
      </c>
      <c r="C230" s="417">
        <v>200</v>
      </c>
      <c r="D230" s="422">
        <v>100</v>
      </c>
      <c r="E230" s="422"/>
      <c r="F230" s="425"/>
      <c r="G230" s="426" t="s">
        <v>3837</v>
      </c>
      <c r="H230" s="420" t="s">
        <v>3836</v>
      </c>
      <c r="I230" s="416">
        <v>4006505</v>
      </c>
      <c r="J230" s="416">
        <v>3409028</v>
      </c>
    </row>
    <row r="231" spans="1:10" s="40" customFormat="1">
      <c r="A231" s="458">
        <v>240</v>
      </c>
      <c r="B231" s="417">
        <v>350</v>
      </c>
      <c r="C231" s="417">
        <v>200</v>
      </c>
      <c r="D231" s="422">
        <v>200</v>
      </c>
      <c r="E231" s="422"/>
      <c r="F231" s="425"/>
      <c r="G231" s="426" t="s">
        <v>3838</v>
      </c>
      <c r="H231" s="420" t="s">
        <v>3836</v>
      </c>
      <c r="I231" s="416">
        <v>1900031</v>
      </c>
      <c r="J231" s="416">
        <v>1394524</v>
      </c>
    </row>
    <row r="232" spans="1:10" s="40" customFormat="1">
      <c r="A232" s="458">
        <v>240</v>
      </c>
      <c r="B232" s="417">
        <v>350</v>
      </c>
      <c r="C232" s="417">
        <v>200</v>
      </c>
      <c r="D232" s="422">
        <v>400</v>
      </c>
      <c r="E232" s="422"/>
      <c r="F232" s="425"/>
      <c r="G232" s="426" t="s">
        <v>3839</v>
      </c>
      <c r="H232" s="420" t="s">
        <v>3836</v>
      </c>
      <c r="I232" s="416"/>
      <c r="J232" s="416"/>
    </row>
    <row r="233" spans="1:10" s="40" customFormat="1">
      <c r="A233" s="458">
        <v>240</v>
      </c>
      <c r="B233" s="417">
        <v>350</v>
      </c>
      <c r="C233" s="417">
        <v>200</v>
      </c>
      <c r="D233" s="422">
        <v>500</v>
      </c>
      <c r="E233" s="422"/>
      <c r="F233" s="425"/>
      <c r="G233" s="426" t="s">
        <v>3840</v>
      </c>
      <c r="H233" s="420" t="s">
        <v>3836</v>
      </c>
      <c r="I233" s="416"/>
      <c r="J233" s="416"/>
    </row>
    <row r="234" spans="1:10" s="40" customFormat="1">
      <c r="A234" s="458">
        <v>240</v>
      </c>
      <c r="B234" s="417">
        <v>350</v>
      </c>
      <c r="C234" s="417">
        <v>200</v>
      </c>
      <c r="D234" s="422">
        <v>600</v>
      </c>
      <c r="E234" s="422"/>
      <c r="F234" s="425"/>
      <c r="G234" s="426" t="s">
        <v>3841</v>
      </c>
      <c r="H234" s="420" t="s">
        <v>3836</v>
      </c>
      <c r="I234" s="416"/>
      <c r="J234" s="416"/>
    </row>
    <row r="235" spans="1:10" s="40" customFormat="1">
      <c r="A235" s="458">
        <v>240</v>
      </c>
      <c r="B235" s="417">
        <v>350</v>
      </c>
      <c r="C235" s="417">
        <v>200</v>
      </c>
      <c r="D235" s="422">
        <v>800</v>
      </c>
      <c r="E235" s="422"/>
      <c r="F235" s="425"/>
      <c r="G235" s="426" t="s">
        <v>3778</v>
      </c>
      <c r="H235" s="420" t="s">
        <v>3836</v>
      </c>
      <c r="I235" s="416">
        <v>5151229</v>
      </c>
      <c r="J235" s="416">
        <v>5083223</v>
      </c>
    </row>
    <row r="236" spans="1:10" s="40" customFormat="1">
      <c r="A236" s="458">
        <v>240</v>
      </c>
      <c r="B236" s="417">
        <v>350</v>
      </c>
      <c r="C236" s="417">
        <v>200</v>
      </c>
      <c r="D236" s="417">
        <v>900</v>
      </c>
      <c r="E236" s="417"/>
      <c r="F236" s="418"/>
      <c r="G236" s="438" t="s">
        <v>3842</v>
      </c>
      <c r="H236" s="420" t="s">
        <v>3843</v>
      </c>
      <c r="I236" s="416">
        <v>-431001</v>
      </c>
      <c r="J236" s="416">
        <v>-447622</v>
      </c>
    </row>
    <row r="237" spans="1:10" s="40" customFormat="1">
      <c r="A237" s="458">
        <v>240</v>
      </c>
      <c r="B237" s="417">
        <v>400</v>
      </c>
      <c r="C237" s="417"/>
      <c r="D237" s="417"/>
      <c r="E237" s="417"/>
      <c r="F237" s="418"/>
      <c r="G237" s="419" t="s">
        <v>3845</v>
      </c>
      <c r="H237" s="420" t="s">
        <v>3846</v>
      </c>
      <c r="I237" s="421"/>
      <c r="J237" s="421"/>
    </row>
    <row r="238" spans="1:10" s="40" customFormat="1">
      <c r="A238" s="458">
        <v>240</v>
      </c>
      <c r="B238" s="417">
        <v>400</v>
      </c>
      <c r="C238" s="422">
        <v>100</v>
      </c>
      <c r="D238" s="422"/>
      <c r="E238" s="422"/>
      <c r="F238" s="425"/>
      <c r="G238" s="426" t="s">
        <v>3847</v>
      </c>
      <c r="H238" s="420"/>
      <c r="I238" s="463"/>
      <c r="J238" s="463"/>
    </row>
    <row r="239" spans="1:10" s="40" customFormat="1">
      <c r="A239" s="458">
        <v>240</v>
      </c>
      <c r="B239" s="417">
        <v>400</v>
      </c>
      <c r="C239" s="422">
        <v>200</v>
      </c>
      <c r="D239" s="422"/>
      <c r="E239" s="422"/>
      <c r="F239" s="425"/>
      <c r="G239" s="426" t="s">
        <v>3848</v>
      </c>
      <c r="H239" s="420"/>
      <c r="I239" s="463"/>
      <c r="J239" s="463"/>
    </row>
    <row r="240" spans="1:10" s="40" customFormat="1">
      <c r="A240" s="458">
        <v>240</v>
      </c>
      <c r="B240" s="417">
        <v>450</v>
      </c>
      <c r="C240" s="417"/>
      <c r="D240" s="417"/>
      <c r="E240" s="417"/>
      <c r="F240" s="418"/>
      <c r="G240" s="419" t="s">
        <v>3849</v>
      </c>
      <c r="H240" s="420" t="s">
        <v>3850</v>
      </c>
      <c r="I240" s="421"/>
      <c r="J240" s="421"/>
    </row>
    <row r="241" spans="1:10" s="40" customFormat="1">
      <c r="A241" s="458">
        <v>240</v>
      </c>
      <c r="B241" s="417">
        <v>450</v>
      </c>
      <c r="C241" s="422">
        <v>100</v>
      </c>
      <c r="D241" s="422"/>
      <c r="E241" s="422"/>
      <c r="F241" s="425"/>
      <c r="G241" s="426" t="s">
        <v>115</v>
      </c>
      <c r="H241" s="420"/>
      <c r="I241" s="463"/>
      <c r="J241" s="463"/>
    </row>
    <row r="242" spans="1:10" s="40" customFormat="1">
      <c r="A242" s="458">
        <v>240</v>
      </c>
      <c r="B242" s="417">
        <v>450</v>
      </c>
      <c r="C242" s="422">
        <v>200</v>
      </c>
      <c r="D242" s="422"/>
      <c r="E242" s="422"/>
      <c r="F242" s="425"/>
      <c r="G242" s="426" t="s">
        <v>110</v>
      </c>
      <c r="H242" s="420"/>
      <c r="I242" s="463">
        <v>480974</v>
      </c>
      <c r="J242" s="463">
        <v>459962</v>
      </c>
    </row>
    <row r="243" spans="1:10" s="40" customFormat="1">
      <c r="A243" s="458">
        <v>240</v>
      </c>
      <c r="B243" s="417">
        <v>450</v>
      </c>
      <c r="C243" s="422">
        <v>300</v>
      </c>
      <c r="D243" s="422"/>
      <c r="E243" s="422"/>
      <c r="F243" s="425"/>
      <c r="G243" s="426" t="s">
        <v>3851</v>
      </c>
      <c r="H243" s="420"/>
      <c r="I243" s="463">
        <v>1246530</v>
      </c>
      <c r="J243" s="463">
        <v>1160293</v>
      </c>
    </row>
    <row r="244" spans="1:10" s="40" customFormat="1">
      <c r="A244" s="458">
        <v>240</v>
      </c>
      <c r="B244" s="417">
        <v>450</v>
      </c>
      <c r="C244" s="422">
        <v>400</v>
      </c>
      <c r="D244" s="422"/>
      <c r="E244" s="422"/>
      <c r="F244" s="425"/>
      <c r="G244" s="426" t="s">
        <v>3852</v>
      </c>
      <c r="H244" s="420"/>
      <c r="I244" s="463">
        <v>329677</v>
      </c>
      <c r="J244" s="463">
        <v>499880</v>
      </c>
    </row>
    <row r="245" spans="1:10" s="40" customFormat="1">
      <c r="A245" s="458">
        <v>240</v>
      </c>
      <c r="B245" s="417">
        <v>450</v>
      </c>
      <c r="C245" s="422">
        <v>500</v>
      </c>
      <c r="D245" s="422"/>
      <c r="E245" s="422"/>
      <c r="F245" s="425"/>
      <c r="G245" s="426" t="s">
        <v>3853</v>
      </c>
      <c r="H245" s="420"/>
      <c r="I245" s="463"/>
      <c r="J245" s="463"/>
    </row>
    <row r="246" spans="1:10" s="40" customFormat="1">
      <c r="A246" s="458">
        <v>240</v>
      </c>
      <c r="B246" s="417">
        <v>450</v>
      </c>
      <c r="C246" s="422">
        <v>600</v>
      </c>
      <c r="D246" s="422"/>
      <c r="E246" s="422"/>
      <c r="F246" s="425"/>
      <c r="G246" s="426" t="s">
        <v>3854</v>
      </c>
      <c r="H246" s="420"/>
      <c r="I246" s="463"/>
      <c r="J246" s="463"/>
    </row>
    <row r="247" spans="1:10" s="40" customFormat="1">
      <c r="A247" s="458">
        <v>240</v>
      </c>
      <c r="B247" s="417">
        <v>450</v>
      </c>
      <c r="C247" s="422">
        <v>700</v>
      </c>
      <c r="D247" s="422"/>
      <c r="E247" s="422"/>
      <c r="F247" s="425"/>
      <c r="G247" s="426" t="s">
        <v>3855</v>
      </c>
      <c r="H247" s="420"/>
      <c r="I247" s="463"/>
      <c r="J247" s="463"/>
    </row>
    <row r="248" spans="1:10" s="40" customFormat="1">
      <c r="A248" s="458">
        <v>240</v>
      </c>
      <c r="B248" s="417">
        <v>450</v>
      </c>
      <c r="C248" s="422">
        <v>800</v>
      </c>
      <c r="D248" s="422"/>
      <c r="E248" s="422"/>
      <c r="F248" s="425"/>
      <c r="G248" s="426" t="s">
        <v>3856</v>
      </c>
      <c r="H248" s="420"/>
      <c r="I248" s="463">
        <v>140814</v>
      </c>
      <c r="J248" s="463">
        <v>124940</v>
      </c>
    </row>
    <row r="249" spans="1:10" s="40" customFormat="1">
      <c r="A249" s="458">
        <v>240</v>
      </c>
      <c r="B249" s="417">
        <v>450</v>
      </c>
      <c r="C249" s="422">
        <v>900</v>
      </c>
      <c r="D249" s="422"/>
      <c r="E249" s="422"/>
      <c r="F249" s="425"/>
      <c r="G249" s="426" t="s">
        <v>3857</v>
      </c>
      <c r="H249" s="420"/>
      <c r="I249" s="463">
        <v>122</v>
      </c>
      <c r="J249" s="463">
        <v>72</v>
      </c>
    </row>
    <row r="250" spans="1:10" s="40" customFormat="1">
      <c r="A250" s="458">
        <v>240</v>
      </c>
      <c r="B250" s="417">
        <v>500</v>
      </c>
      <c r="C250" s="417"/>
      <c r="D250" s="417"/>
      <c r="E250" s="417"/>
      <c r="F250" s="418"/>
      <c r="G250" s="419" t="s">
        <v>3858</v>
      </c>
      <c r="H250" s="420" t="s">
        <v>3859</v>
      </c>
      <c r="I250" s="421"/>
      <c r="J250" s="421"/>
    </row>
    <row r="251" spans="1:10" s="40" customFormat="1">
      <c r="A251" s="458">
        <v>240</v>
      </c>
      <c r="B251" s="417">
        <v>500</v>
      </c>
      <c r="C251" s="422">
        <v>100</v>
      </c>
      <c r="D251" s="422"/>
      <c r="E251" s="422"/>
      <c r="F251" s="425"/>
      <c r="G251" s="426" t="s">
        <v>3860</v>
      </c>
      <c r="H251" s="420"/>
      <c r="I251" s="463">
        <v>1847780</v>
      </c>
      <c r="J251" s="463">
        <v>1758136</v>
      </c>
    </row>
    <row r="252" spans="1:10" s="40" customFormat="1">
      <c r="A252" s="458">
        <v>240</v>
      </c>
      <c r="B252" s="417">
        <v>500</v>
      </c>
      <c r="C252" s="422">
        <v>200</v>
      </c>
      <c r="D252" s="422"/>
      <c r="E252" s="422"/>
      <c r="F252" s="425"/>
      <c r="G252" s="426" t="s">
        <v>3861</v>
      </c>
      <c r="H252" s="420"/>
      <c r="I252" s="463">
        <v>11104</v>
      </c>
      <c r="J252" s="463">
        <v>8661</v>
      </c>
    </row>
    <row r="253" spans="1:10" s="40" customFormat="1">
      <c r="A253" s="458">
        <v>240</v>
      </c>
      <c r="B253" s="417">
        <v>500</v>
      </c>
      <c r="C253" s="422">
        <v>300</v>
      </c>
      <c r="D253" s="422"/>
      <c r="E253" s="422"/>
      <c r="F253" s="425"/>
      <c r="G253" s="426" t="s">
        <v>3862</v>
      </c>
      <c r="H253" s="420"/>
      <c r="I253" s="463">
        <v>6216</v>
      </c>
      <c r="J253" s="463">
        <v>34942</v>
      </c>
    </row>
    <row r="254" spans="1:10" s="40" customFormat="1">
      <c r="A254" s="458">
        <v>240</v>
      </c>
      <c r="B254" s="417">
        <v>500</v>
      </c>
      <c r="C254" s="422">
        <v>400</v>
      </c>
      <c r="D254" s="422"/>
      <c r="E254" s="422"/>
      <c r="F254" s="425"/>
      <c r="G254" s="426" t="s">
        <v>3863</v>
      </c>
      <c r="H254" s="420"/>
      <c r="I254" s="463"/>
      <c r="J254" s="463"/>
    </row>
    <row r="255" spans="1:10" s="40" customFormat="1">
      <c r="A255" s="458">
        <v>240</v>
      </c>
      <c r="B255" s="417">
        <v>500</v>
      </c>
      <c r="C255" s="422">
        <v>500</v>
      </c>
      <c r="D255" s="422"/>
      <c r="E255" s="422"/>
      <c r="F255" s="425"/>
      <c r="G255" s="426" t="s">
        <v>3864</v>
      </c>
      <c r="H255" s="420"/>
      <c r="I255" s="463"/>
      <c r="J255" s="463"/>
    </row>
    <row r="256" spans="1:10" s="40" customFormat="1">
      <c r="A256" s="458">
        <v>240</v>
      </c>
      <c r="B256" s="417">
        <v>500</v>
      </c>
      <c r="C256" s="422">
        <v>600</v>
      </c>
      <c r="D256" s="422"/>
      <c r="E256" s="422"/>
      <c r="F256" s="425"/>
      <c r="G256" s="426" t="s">
        <v>3865</v>
      </c>
      <c r="H256" s="420"/>
      <c r="I256" s="463">
        <v>17442</v>
      </c>
      <c r="J256" s="463">
        <v>17012</v>
      </c>
    </row>
    <row r="257" spans="1:10" s="40" customFormat="1">
      <c r="A257" s="458">
        <v>240</v>
      </c>
      <c r="B257" s="417">
        <v>500</v>
      </c>
      <c r="C257" s="422">
        <v>700</v>
      </c>
      <c r="D257" s="422"/>
      <c r="E257" s="422"/>
      <c r="F257" s="425"/>
      <c r="G257" s="426" t="s">
        <v>3866</v>
      </c>
      <c r="H257" s="420"/>
      <c r="I257" s="463"/>
      <c r="J257" s="463"/>
    </row>
    <row r="258" spans="1:10" s="40" customFormat="1">
      <c r="A258" s="458">
        <v>240</v>
      </c>
      <c r="B258" s="417">
        <v>500</v>
      </c>
      <c r="C258" s="422">
        <v>800</v>
      </c>
      <c r="D258" s="422"/>
      <c r="E258" s="422"/>
      <c r="F258" s="425"/>
      <c r="G258" s="426" t="s">
        <v>3867</v>
      </c>
      <c r="H258" s="420"/>
      <c r="I258" s="463"/>
      <c r="J258" s="463"/>
    </row>
    <row r="259" spans="1:10" s="40" customFormat="1">
      <c r="A259" s="458">
        <v>240</v>
      </c>
      <c r="B259" s="417">
        <v>500</v>
      </c>
      <c r="C259" s="422">
        <v>900</v>
      </c>
      <c r="D259" s="422"/>
      <c r="E259" s="422"/>
      <c r="F259" s="425"/>
      <c r="G259" s="426" t="s">
        <v>3868</v>
      </c>
      <c r="H259" s="420"/>
      <c r="I259" s="463">
        <v>135</v>
      </c>
      <c r="J259" s="463">
        <v>17057</v>
      </c>
    </row>
    <row r="260" spans="1:10" s="40" customFormat="1">
      <c r="A260" s="458">
        <v>240</v>
      </c>
      <c r="B260" s="417">
        <v>550</v>
      </c>
      <c r="C260" s="417"/>
      <c r="D260" s="417"/>
      <c r="E260" s="417"/>
      <c r="F260" s="418"/>
      <c r="G260" s="419" t="s">
        <v>3869</v>
      </c>
      <c r="H260" s="420"/>
      <c r="I260" s="421"/>
      <c r="J260" s="421"/>
    </row>
    <row r="261" spans="1:10" s="40" customFormat="1">
      <c r="A261" s="458">
        <v>240</v>
      </c>
      <c r="B261" s="417">
        <v>550</v>
      </c>
      <c r="C261" s="422">
        <v>100</v>
      </c>
      <c r="D261" s="422"/>
      <c r="E261" s="422"/>
      <c r="F261" s="425"/>
      <c r="G261" s="423" t="s">
        <v>3870</v>
      </c>
      <c r="H261" s="420" t="s">
        <v>3871</v>
      </c>
      <c r="I261" s="463"/>
      <c r="J261" s="463"/>
    </row>
    <row r="262" spans="1:10" s="40" customFormat="1">
      <c r="A262" s="458">
        <v>240</v>
      </c>
      <c r="B262" s="417">
        <v>550</v>
      </c>
      <c r="C262" s="417">
        <v>200</v>
      </c>
      <c r="D262" s="417"/>
      <c r="E262" s="417"/>
      <c r="F262" s="418"/>
      <c r="G262" s="419" t="s">
        <v>3872</v>
      </c>
      <c r="H262" s="420" t="s">
        <v>3873</v>
      </c>
      <c r="I262" s="421"/>
      <c r="J262" s="421"/>
    </row>
    <row r="263" spans="1:10" s="40" customFormat="1">
      <c r="A263" s="458">
        <v>240</v>
      </c>
      <c r="B263" s="417">
        <v>550</v>
      </c>
      <c r="C263" s="417">
        <v>200</v>
      </c>
      <c r="D263" s="422">
        <v>100</v>
      </c>
      <c r="E263" s="422"/>
      <c r="F263" s="425"/>
      <c r="G263" s="426" t="s">
        <v>3874</v>
      </c>
      <c r="H263" s="420"/>
      <c r="I263" s="463">
        <v>749954</v>
      </c>
      <c r="J263" s="463">
        <v>856171</v>
      </c>
    </row>
    <row r="264" spans="1:10" s="40" customFormat="1">
      <c r="A264" s="458">
        <v>240</v>
      </c>
      <c r="B264" s="417">
        <v>550</v>
      </c>
      <c r="C264" s="417">
        <v>200</v>
      </c>
      <c r="D264" s="422">
        <v>200</v>
      </c>
      <c r="E264" s="422"/>
      <c r="F264" s="425"/>
      <c r="G264" s="426" t="s">
        <v>3875</v>
      </c>
      <c r="H264" s="420"/>
      <c r="I264" s="463">
        <v>2672240</v>
      </c>
      <c r="J264" s="463">
        <v>3119809</v>
      </c>
    </row>
    <row r="265" spans="1:10" s="40" customFormat="1">
      <c r="A265" s="458">
        <v>240</v>
      </c>
      <c r="B265" s="417">
        <v>550</v>
      </c>
      <c r="C265" s="417">
        <v>300</v>
      </c>
      <c r="D265" s="417"/>
      <c r="E265" s="417"/>
      <c r="F265" s="418"/>
      <c r="G265" s="419" t="s">
        <v>3876</v>
      </c>
      <c r="H265" s="420" t="s">
        <v>3877</v>
      </c>
      <c r="I265" s="421"/>
      <c r="J265" s="421"/>
    </row>
    <row r="266" spans="1:10" s="40" customFormat="1">
      <c r="A266" s="458">
        <v>240</v>
      </c>
      <c r="B266" s="417">
        <v>550</v>
      </c>
      <c r="C266" s="417">
        <v>300</v>
      </c>
      <c r="D266" s="422">
        <v>100</v>
      </c>
      <c r="E266" s="422"/>
      <c r="F266" s="425"/>
      <c r="G266" s="426" t="s">
        <v>3878</v>
      </c>
      <c r="H266" s="431"/>
      <c r="I266" s="463"/>
      <c r="J266" s="463"/>
    </row>
    <row r="267" spans="1:10" s="40" customFormat="1">
      <c r="A267" s="458">
        <v>240</v>
      </c>
      <c r="B267" s="417">
        <v>550</v>
      </c>
      <c r="C267" s="417">
        <v>300</v>
      </c>
      <c r="D267" s="422">
        <v>200</v>
      </c>
      <c r="E267" s="422"/>
      <c r="F267" s="425"/>
      <c r="G267" s="426" t="s">
        <v>3879</v>
      </c>
      <c r="H267" s="431"/>
      <c r="I267" s="463"/>
      <c r="J267" s="463"/>
    </row>
    <row r="268" spans="1:10" s="40" customFormat="1">
      <c r="A268" s="458">
        <v>240</v>
      </c>
      <c r="B268" s="417">
        <v>550</v>
      </c>
      <c r="C268" s="417">
        <v>400</v>
      </c>
      <c r="D268" s="417"/>
      <c r="E268" s="417"/>
      <c r="F268" s="418"/>
      <c r="G268" s="419" t="s">
        <v>3880</v>
      </c>
      <c r="H268" s="420" t="s">
        <v>3881</v>
      </c>
      <c r="I268" s="421"/>
      <c r="J268" s="421"/>
    </row>
    <row r="269" spans="1:10" s="40" customFormat="1">
      <c r="A269" s="458">
        <v>240</v>
      </c>
      <c r="B269" s="417">
        <v>550</v>
      </c>
      <c r="C269" s="417">
        <v>400</v>
      </c>
      <c r="D269" s="422">
        <v>50</v>
      </c>
      <c r="E269" s="422"/>
      <c r="F269" s="425"/>
      <c r="G269" s="426" t="s">
        <v>3882</v>
      </c>
      <c r="H269" s="415"/>
      <c r="I269" s="463"/>
      <c r="J269" s="463"/>
    </row>
    <row r="270" spans="1:10" s="40" customFormat="1">
      <c r="A270" s="458">
        <v>240</v>
      </c>
      <c r="B270" s="417">
        <v>550</v>
      </c>
      <c r="C270" s="417">
        <v>400</v>
      </c>
      <c r="D270" s="422">
        <v>100</v>
      </c>
      <c r="E270" s="422"/>
      <c r="F270" s="425"/>
      <c r="G270" s="426" t="s">
        <v>3883</v>
      </c>
      <c r="H270" s="420"/>
      <c r="I270" s="463"/>
      <c r="J270" s="463"/>
    </row>
    <row r="271" spans="1:10" s="40" customFormat="1">
      <c r="A271" s="458">
        <v>240</v>
      </c>
      <c r="B271" s="417">
        <v>550</v>
      </c>
      <c r="C271" s="417">
        <v>400</v>
      </c>
      <c r="D271" s="422">
        <v>150</v>
      </c>
      <c r="E271" s="422"/>
      <c r="F271" s="425"/>
      <c r="G271" s="426" t="s">
        <v>3884</v>
      </c>
      <c r="H271" s="420"/>
      <c r="I271" s="463"/>
      <c r="J271" s="463"/>
    </row>
    <row r="272" spans="1:10" s="40" customFormat="1">
      <c r="A272" s="458">
        <v>240</v>
      </c>
      <c r="B272" s="417">
        <v>550</v>
      </c>
      <c r="C272" s="417">
        <v>400</v>
      </c>
      <c r="D272" s="422">
        <v>200</v>
      </c>
      <c r="E272" s="422"/>
      <c r="F272" s="425"/>
      <c r="G272" s="426" t="s">
        <v>3885</v>
      </c>
      <c r="H272" s="420"/>
      <c r="I272" s="463">
        <v>0</v>
      </c>
      <c r="J272" s="463">
        <v>2820</v>
      </c>
    </row>
    <row r="273" spans="1:10" s="40" customFormat="1">
      <c r="A273" s="458">
        <v>240</v>
      </c>
      <c r="B273" s="417">
        <v>550</v>
      </c>
      <c r="C273" s="417">
        <v>400</v>
      </c>
      <c r="D273" s="417">
        <v>250</v>
      </c>
      <c r="E273" s="417"/>
      <c r="F273" s="418"/>
      <c r="G273" s="438" t="s">
        <v>3886</v>
      </c>
      <c r="H273" s="420"/>
      <c r="I273" s="421"/>
      <c r="J273" s="421"/>
    </row>
    <row r="274" spans="1:10" s="40" customFormat="1">
      <c r="A274" s="458">
        <v>240</v>
      </c>
      <c r="B274" s="417">
        <v>550</v>
      </c>
      <c r="C274" s="417">
        <v>400</v>
      </c>
      <c r="D274" s="417">
        <v>250</v>
      </c>
      <c r="E274" s="422">
        <v>10</v>
      </c>
      <c r="F274" s="425"/>
      <c r="G274" s="426" t="s">
        <v>3886</v>
      </c>
      <c r="H274" s="420"/>
      <c r="I274" s="463"/>
      <c r="J274" s="463"/>
    </row>
    <row r="275" spans="1:10" s="40" customFormat="1">
      <c r="A275" s="458">
        <v>240</v>
      </c>
      <c r="B275" s="417">
        <v>550</v>
      </c>
      <c r="C275" s="417">
        <v>400</v>
      </c>
      <c r="D275" s="417">
        <v>250</v>
      </c>
      <c r="E275" s="422">
        <v>20</v>
      </c>
      <c r="F275" s="425"/>
      <c r="G275" s="426" t="s">
        <v>3887</v>
      </c>
      <c r="H275" s="420"/>
      <c r="I275" s="463"/>
      <c r="J275" s="463"/>
    </row>
    <row r="276" spans="1:10" s="40" customFormat="1">
      <c r="A276" s="458">
        <v>240</v>
      </c>
      <c r="B276" s="417">
        <v>550</v>
      </c>
      <c r="C276" s="417">
        <v>400</v>
      </c>
      <c r="D276" s="422">
        <v>300</v>
      </c>
      <c r="E276" s="422"/>
      <c r="F276" s="425"/>
      <c r="G276" s="426" t="s">
        <v>3888</v>
      </c>
      <c r="H276" s="420"/>
      <c r="I276" s="463"/>
      <c r="J276" s="463"/>
    </row>
    <row r="277" spans="1:10" s="40" customFormat="1">
      <c r="A277" s="458">
        <v>240</v>
      </c>
      <c r="B277" s="417">
        <v>550</v>
      </c>
      <c r="C277" s="417">
        <v>400</v>
      </c>
      <c r="D277" s="422">
        <v>350</v>
      </c>
      <c r="E277" s="422"/>
      <c r="F277" s="425"/>
      <c r="G277" s="426" t="s">
        <v>3889</v>
      </c>
      <c r="H277" s="420"/>
      <c r="I277" s="463">
        <v>33037</v>
      </c>
      <c r="J277" s="463">
        <v>14267</v>
      </c>
    </row>
    <row r="278" spans="1:10" s="40" customFormat="1">
      <c r="A278" s="458">
        <v>240</v>
      </c>
      <c r="B278" s="417">
        <v>550</v>
      </c>
      <c r="C278" s="417">
        <v>400</v>
      </c>
      <c r="D278" s="422">
        <v>400</v>
      </c>
      <c r="E278" s="422"/>
      <c r="F278" s="425"/>
      <c r="G278" s="426" t="s">
        <v>3890</v>
      </c>
      <c r="H278" s="420"/>
      <c r="I278" s="463"/>
      <c r="J278" s="463"/>
    </row>
    <row r="279" spans="1:10" s="40" customFormat="1">
      <c r="A279" s="458">
        <v>240</v>
      </c>
      <c r="B279" s="417">
        <v>550</v>
      </c>
      <c r="C279" s="417">
        <v>400</v>
      </c>
      <c r="D279" s="417">
        <v>450</v>
      </c>
      <c r="E279" s="417"/>
      <c r="F279" s="418"/>
      <c r="G279" s="438" t="s">
        <v>3891</v>
      </c>
      <c r="H279" s="420"/>
      <c r="I279" s="421"/>
      <c r="J279" s="421"/>
    </row>
    <row r="280" spans="1:10" s="40" customFormat="1">
      <c r="A280" s="458">
        <v>240</v>
      </c>
      <c r="B280" s="417">
        <v>550</v>
      </c>
      <c r="C280" s="417">
        <v>400</v>
      </c>
      <c r="D280" s="417">
        <v>450</v>
      </c>
      <c r="E280" s="422">
        <v>10</v>
      </c>
      <c r="F280" s="425"/>
      <c r="G280" s="426" t="s">
        <v>3891</v>
      </c>
      <c r="H280" s="420"/>
      <c r="I280" s="463"/>
      <c r="J280" s="463"/>
    </row>
    <row r="281" spans="1:10" s="40" customFormat="1">
      <c r="A281" s="458">
        <v>240</v>
      </c>
      <c r="B281" s="417">
        <v>550</v>
      </c>
      <c r="C281" s="417">
        <v>400</v>
      </c>
      <c r="D281" s="417">
        <v>450</v>
      </c>
      <c r="E281" s="422">
        <v>20</v>
      </c>
      <c r="F281" s="425"/>
      <c r="G281" s="426" t="s">
        <v>3892</v>
      </c>
      <c r="H281" s="420"/>
      <c r="I281" s="463">
        <v>487120</v>
      </c>
      <c r="J281" s="463">
        <v>432130</v>
      </c>
    </row>
    <row r="282" spans="1:10" s="40" customFormat="1">
      <c r="A282" s="458">
        <v>240</v>
      </c>
      <c r="B282" s="417">
        <v>550</v>
      </c>
      <c r="C282" s="417">
        <v>400</v>
      </c>
      <c r="D282" s="422">
        <v>500</v>
      </c>
      <c r="E282" s="422"/>
      <c r="F282" s="425"/>
      <c r="G282" s="426" t="s">
        <v>3893</v>
      </c>
      <c r="H282" s="420"/>
      <c r="I282" s="463">
        <v>566178</v>
      </c>
      <c r="J282" s="463">
        <v>603273</v>
      </c>
    </row>
    <row r="283" spans="1:10" s="40" customFormat="1">
      <c r="A283" s="458">
        <v>240</v>
      </c>
      <c r="B283" s="417">
        <v>550</v>
      </c>
      <c r="C283" s="417">
        <v>400</v>
      </c>
      <c r="D283" s="422">
        <v>600</v>
      </c>
      <c r="E283" s="422"/>
      <c r="F283" s="425"/>
      <c r="G283" s="426" t="s">
        <v>3894</v>
      </c>
      <c r="H283" s="420"/>
      <c r="I283" s="463">
        <v>164065</v>
      </c>
      <c r="J283" s="463">
        <v>126350</v>
      </c>
    </row>
    <row r="284" spans="1:10" s="40" customFormat="1">
      <c r="A284" s="458">
        <v>240</v>
      </c>
      <c r="B284" s="417">
        <v>550</v>
      </c>
      <c r="C284" s="417">
        <v>400</v>
      </c>
      <c r="D284" s="417">
        <v>700</v>
      </c>
      <c r="E284" s="417"/>
      <c r="F284" s="418"/>
      <c r="G284" s="438" t="s">
        <v>3895</v>
      </c>
      <c r="H284" s="420"/>
      <c r="I284" s="421"/>
      <c r="J284" s="421"/>
    </row>
    <row r="285" spans="1:10" s="40" customFormat="1">
      <c r="A285" s="458">
        <v>240</v>
      </c>
      <c r="B285" s="417">
        <v>550</v>
      </c>
      <c r="C285" s="417">
        <v>400</v>
      </c>
      <c r="D285" s="417">
        <v>700</v>
      </c>
      <c r="E285" s="422">
        <v>10</v>
      </c>
      <c r="F285" s="425"/>
      <c r="G285" s="426" t="s">
        <v>3752</v>
      </c>
      <c r="H285" s="420"/>
      <c r="I285" s="463"/>
      <c r="J285" s="463"/>
    </row>
    <row r="286" spans="1:10" s="40" customFormat="1">
      <c r="A286" s="458">
        <v>240</v>
      </c>
      <c r="B286" s="417">
        <v>550</v>
      </c>
      <c r="C286" s="417">
        <v>400</v>
      </c>
      <c r="D286" s="417">
        <v>700</v>
      </c>
      <c r="E286" s="422">
        <v>20</v>
      </c>
      <c r="F286" s="425"/>
      <c r="G286" s="426" t="s">
        <v>3895</v>
      </c>
      <c r="H286" s="420"/>
      <c r="I286" s="463">
        <v>35583</v>
      </c>
      <c r="J286" s="463">
        <v>108506</v>
      </c>
    </row>
    <row r="287" spans="1:10" s="40" customFormat="1">
      <c r="A287" s="458">
        <v>240</v>
      </c>
      <c r="B287" s="417">
        <v>550</v>
      </c>
      <c r="C287" s="417">
        <v>400</v>
      </c>
      <c r="D287" s="422">
        <v>800</v>
      </c>
      <c r="E287" s="422"/>
      <c r="F287" s="425"/>
      <c r="G287" s="426" t="s">
        <v>3778</v>
      </c>
      <c r="H287" s="420"/>
      <c r="I287" s="463">
        <v>1034</v>
      </c>
      <c r="J287" s="463">
        <v>3732</v>
      </c>
    </row>
    <row r="288" spans="1:10" s="40" customFormat="1">
      <c r="A288" s="458">
        <v>240</v>
      </c>
      <c r="B288" s="417">
        <v>550</v>
      </c>
      <c r="C288" s="417">
        <v>400</v>
      </c>
      <c r="D288" s="422">
        <v>900</v>
      </c>
      <c r="E288" s="422"/>
      <c r="F288" s="425"/>
      <c r="G288" s="426" t="s">
        <v>3753</v>
      </c>
      <c r="H288" s="420"/>
      <c r="I288" s="463"/>
      <c r="J288" s="463"/>
    </row>
    <row r="289" spans="1:13" s="40" customFormat="1">
      <c r="A289" s="444">
        <v>250</v>
      </c>
      <c r="B289" s="445">
        <v>0</v>
      </c>
      <c r="C289" s="445">
        <v>0</v>
      </c>
      <c r="D289" s="445">
        <v>0</v>
      </c>
      <c r="E289" s="445">
        <v>0</v>
      </c>
      <c r="F289" s="446">
        <v>0</v>
      </c>
      <c r="G289" s="447" t="s">
        <v>3896</v>
      </c>
      <c r="H289" s="436"/>
      <c r="I289" s="437"/>
      <c r="J289" s="437"/>
    </row>
    <row r="290" spans="1:13" s="40" customFormat="1">
      <c r="A290" s="458">
        <v>250</v>
      </c>
      <c r="B290" s="417">
        <v>100</v>
      </c>
      <c r="C290" s="417"/>
      <c r="D290" s="417"/>
      <c r="E290" s="417"/>
      <c r="F290" s="418"/>
      <c r="G290" s="419" t="s">
        <v>3897</v>
      </c>
      <c r="H290" s="420"/>
      <c r="I290" s="421"/>
      <c r="J290" s="421"/>
    </row>
    <row r="291" spans="1:13" s="40" customFormat="1">
      <c r="A291" s="458">
        <v>250</v>
      </c>
      <c r="B291" s="417">
        <v>100</v>
      </c>
      <c r="C291" s="422">
        <v>100</v>
      </c>
      <c r="D291" s="422"/>
      <c r="E291" s="422"/>
      <c r="F291" s="425"/>
      <c r="G291" s="423" t="s">
        <v>3898</v>
      </c>
      <c r="H291" s="420" t="s">
        <v>3899</v>
      </c>
      <c r="I291" s="463"/>
      <c r="J291" s="463">
        <v>398</v>
      </c>
    </row>
    <row r="292" spans="1:13" s="40" customFormat="1">
      <c r="A292" s="458">
        <v>250</v>
      </c>
      <c r="B292" s="417">
        <v>100</v>
      </c>
      <c r="C292" s="422">
        <v>200</v>
      </c>
      <c r="D292" s="422"/>
      <c r="E292" s="422"/>
      <c r="F292" s="425"/>
      <c r="G292" s="423" t="s">
        <v>3900</v>
      </c>
      <c r="H292" s="420" t="s">
        <v>3901</v>
      </c>
      <c r="I292" s="463"/>
      <c r="J292" s="463"/>
    </row>
    <row r="293" spans="1:13" s="409" customFormat="1">
      <c r="A293" s="458">
        <v>250</v>
      </c>
      <c r="B293" s="417">
        <v>200</v>
      </c>
      <c r="C293" s="422"/>
      <c r="D293" s="422"/>
      <c r="E293" s="422"/>
      <c r="F293" s="425"/>
      <c r="G293" s="419" t="s">
        <v>3902</v>
      </c>
      <c r="H293" s="420"/>
      <c r="I293" s="421"/>
      <c r="J293" s="421"/>
    </row>
    <row r="294" spans="1:13" s="40" customFormat="1">
      <c r="A294" s="458">
        <v>250</v>
      </c>
      <c r="B294" s="417">
        <v>200</v>
      </c>
      <c r="C294" s="422">
        <v>100</v>
      </c>
      <c r="D294" s="422"/>
      <c r="E294" s="422"/>
      <c r="F294" s="425"/>
      <c r="G294" s="423" t="s">
        <v>3903</v>
      </c>
      <c r="H294" s="420" t="s">
        <v>3904</v>
      </c>
      <c r="I294" s="463"/>
      <c r="J294" s="463"/>
    </row>
    <row r="295" spans="1:13" s="40" customFormat="1">
      <c r="A295" s="464">
        <v>250</v>
      </c>
      <c r="B295" s="448">
        <v>200</v>
      </c>
      <c r="C295" s="428">
        <v>200</v>
      </c>
      <c r="D295" s="428"/>
      <c r="E295" s="428"/>
      <c r="F295" s="465"/>
      <c r="G295" s="430" t="s">
        <v>3905</v>
      </c>
      <c r="H295" s="431" t="s">
        <v>3906</v>
      </c>
      <c r="I295" s="463"/>
      <c r="J295" s="463"/>
    </row>
    <row r="296" spans="1:13" s="40" customFormat="1" ht="38.25">
      <c r="A296" s="464">
        <v>250</v>
      </c>
      <c r="B296" s="448">
        <v>200</v>
      </c>
      <c r="C296" s="428">
        <v>300</v>
      </c>
      <c r="D296" s="428"/>
      <c r="E296" s="428"/>
      <c r="F296" s="429"/>
      <c r="G296" s="430" t="s">
        <v>3907</v>
      </c>
      <c r="H296" s="431" t="s">
        <v>3908</v>
      </c>
      <c r="I296" s="463"/>
      <c r="J296" s="463"/>
    </row>
    <row r="297" spans="1:13" s="40" customFormat="1">
      <c r="A297" s="466">
        <v>280</v>
      </c>
      <c r="B297" s="467">
        <v>0</v>
      </c>
      <c r="C297" s="467">
        <v>0</v>
      </c>
      <c r="D297" s="467">
        <v>0</v>
      </c>
      <c r="E297" s="467">
        <v>0</v>
      </c>
      <c r="F297" s="468">
        <v>0</v>
      </c>
      <c r="G297" s="469" t="s">
        <v>3909</v>
      </c>
      <c r="H297" s="470" t="s">
        <v>3910</v>
      </c>
      <c r="I297" s="471">
        <f>SUM(I4:I296)</f>
        <v>164039938</v>
      </c>
      <c r="J297" s="471">
        <f>SUM(J4:J296)</f>
        <v>160236604</v>
      </c>
      <c r="L297" s="685"/>
      <c r="M297" s="685"/>
    </row>
    <row r="298" spans="1:13" s="40" customFormat="1">
      <c r="A298" s="432">
        <v>290</v>
      </c>
      <c r="B298" s="433">
        <v>0</v>
      </c>
      <c r="C298" s="433">
        <v>0</v>
      </c>
      <c r="D298" s="433">
        <v>0</v>
      </c>
      <c r="E298" s="433">
        <v>0</v>
      </c>
      <c r="F298" s="434">
        <v>0</v>
      </c>
      <c r="G298" s="435" t="s">
        <v>3911</v>
      </c>
      <c r="H298" s="436"/>
      <c r="I298" s="437"/>
      <c r="J298" s="437"/>
    </row>
    <row r="299" spans="1:13" s="40" customFormat="1">
      <c r="A299" s="458">
        <v>290</v>
      </c>
      <c r="B299" s="422">
        <v>100</v>
      </c>
      <c r="C299" s="422"/>
      <c r="D299" s="422"/>
      <c r="E299" s="422"/>
      <c r="F299" s="425"/>
      <c r="G299" s="426" t="s">
        <v>3912</v>
      </c>
      <c r="H299" s="472"/>
      <c r="I299" s="424"/>
      <c r="J299" s="424"/>
    </row>
    <row r="300" spans="1:13" s="40" customFormat="1">
      <c r="A300" s="458">
        <v>290</v>
      </c>
      <c r="B300" s="422">
        <v>200</v>
      </c>
      <c r="C300" s="422"/>
      <c r="D300" s="422"/>
      <c r="E300" s="422"/>
      <c r="F300" s="425"/>
      <c r="G300" s="426" t="s">
        <v>3913</v>
      </c>
      <c r="H300" s="472"/>
      <c r="I300" s="424"/>
      <c r="J300" s="424"/>
    </row>
    <row r="301" spans="1:13" s="40" customFormat="1">
      <c r="A301" s="458">
        <v>290</v>
      </c>
      <c r="B301" s="422">
        <v>300</v>
      </c>
      <c r="C301" s="422"/>
      <c r="D301" s="422"/>
      <c r="E301" s="422"/>
      <c r="F301" s="425"/>
      <c r="G301" s="426" t="s">
        <v>3914</v>
      </c>
      <c r="H301" s="472"/>
      <c r="I301" s="424"/>
      <c r="J301" s="424"/>
    </row>
    <row r="302" spans="1:13" s="409" customFormat="1">
      <c r="A302" s="444">
        <v>295</v>
      </c>
      <c r="B302" s="445">
        <v>0</v>
      </c>
      <c r="C302" s="445">
        <v>0</v>
      </c>
      <c r="D302" s="445">
        <v>0</v>
      </c>
      <c r="E302" s="445">
        <v>0</v>
      </c>
      <c r="F302" s="446">
        <v>0</v>
      </c>
      <c r="G302" s="447" t="s">
        <v>3915</v>
      </c>
      <c r="H302" s="436"/>
      <c r="I302" s="437"/>
      <c r="J302" s="437"/>
    </row>
    <row r="303" spans="1:13" s="40" customFormat="1">
      <c r="A303" s="458">
        <v>295</v>
      </c>
      <c r="B303" s="422">
        <v>100</v>
      </c>
      <c r="C303" s="422"/>
      <c r="D303" s="422"/>
      <c r="E303" s="422"/>
      <c r="F303" s="425"/>
      <c r="G303" s="423" t="s">
        <v>3916</v>
      </c>
      <c r="H303" s="420" t="s">
        <v>3917</v>
      </c>
      <c r="I303" s="424">
        <v>116759</v>
      </c>
      <c r="J303" s="424">
        <v>20264</v>
      </c>
    </row>
    <row r="304" spans="1:13" s="40" customFormat="1">
      <c r="A304" s="458">
        <v>295</v>
      </c>
      <c r="B304" s="422">
        <v>200</v>
      </c>
      <c r="C304" s="422"/>
      <c r="D304" s="422"/>
      <c r="E304" s="422"/>
      <c r="F304" s="425"/>
      <c r="G304" s="423" t="s">
        <v>3918</v>
      </c>
      <c r="H304" s="420" t="s">
        <v>3919</v>
      </c>
      <c r="I304" s="424"/>
      <c r="J304" s="424"/>
    </row>
    <row r="305" spans="1:10" s="40" customFormat="1">
      <c r="A305" s="458">
        <v>295</v>
      </c>
      <c r="B305" s="422">
        <v>300</v>
      </c>
      <c r="C305" s="422"/>
      <c r="D305" s="422"/>
      <c r="E305" s="422"/>
      <c r="F305" s="425"/>
      <c r="G305" s="423" t="s">
        <v>3920</v>
      </c>
      <c r="H305" s="420" t="s">
        <v>3921</v>
      </c>
      <c r="I305" s="424"/>
      <c r="J305" s="424"/>
    </row>
    <row r="306" spans="1:10" s="409" customFormat="1">
      <c r="A306" s="458">
        <v>295</v>
      </c>
      <c r="B306" s="422">
        <v>350</v>
      </c>
      <c r="C306" s="422"/>
      <c r="D306" s="422"/>
      <c r="E306" s="422"/>
      <c r="F306" s="425"/>
      <c r="G306" s="423" t="s">
        <v>3922</v>
      </c>
      <c r="H306" s="420" t="s">
        <v>3923</v>
      </c>
      <c r="I306" s="424"/>
      <c r="J306" s="424"/>
    </row>
    <row r="307" spans="1:10" s="40" customFormat="1">
      <c r="A307" s="458">
        <v>295</v>
      </c>
      <c r="B307" s="417">
        <v>400</v>
      </c>
      <c r="C307" s="417"/>
      <c r="D307" s="417"/>
      <c r="E307" s="417"/>
      <c r="F307" s="418"/>
      <c r="G307" s="419" t="s">
        <v>3924</v>
      </c>
      <c r="H307" s="420" t="s">
        <v>3925</v>
      </c>
      <c r="I307" s="437"/>
      <c r="J307" s="437"/>
    </row>
    <row r="308" spans="1:10" s="40" customFormat="1">
      <c r="A308" s="458">
        <v>295</v>
      </c>
      <c r="B308" s="417">
        <v>400</v>
      </c>
      <c r="C308" s="422">
        <v>100</v>
      </c>
      <c r="D308" s="422"/>
      <c r="E308" s="422"/>
      <c r="F308" s="425"/>
      <c r="G308" s="426" t="s">
        <v>3926</v>
      </c>
      <c r="H308" s="420"/>
      <c r="I308" s="424"/>
      <c r="J308" s="424"/>
    </row>
    <row r="309" spans="1:10" s="40" customFormat="1">
      <c r="A309" s="458">
        <v>295</v>
      </c>
      <c r="B309" s="417">
        <v>400</v>
      </c>
      <c r="C309" s="422">
        <v>200</v>
      </c>
      <c r="D309" s="422"/>
      <c r="E309" s="422"/>
      <c r="F309" s="425"/>
      <c r="G309" s="426" t="s">
        <v>3894</v>
      </c>
      <c r="H309" s="473"/>
      <c r="I309" s="424"/>
      <c r="J309" s="424"/>
    </row>
    <row r="310" spans="1:10" s="40" customFormat="1">
      <c r="A310" s="458">
        <v>295</v>
      </c>
      <c r="B310" s="417">
        <v>400</v>
      </c>
      <c r="C310" s="422">
        <v>300</v>
      </c>
      <c r="D310" s="422"/>
      <c r="E310" s="422"/>
      <c r="F310" s="425"/>
      <c r="G310" s="426" t="s">
        <v>3927</v>
      </c>
      <c r="H310" s="473"/>
      <c r="I310" s="463">
        <v>2781638</v>
      </c>
      <c r="J310" s="463">
        <v>2782163</v>
      </c>
    </row>
    <row r="311" spans="1:10" s="40" customFormat="1">
      <c r="A311" s="458">
        <v>295</v>
      </c>
      <c r="B311" s="417">
        <v>400</v>
      </c>
      <c r="C311" s="422">
        <v>400</v>
      </c>
      <c r="D311" s="422"/>
      <c r="E311" s="422"/>
      <c r="F311" s="425"/>
      <c r="G311" s="426" t="s">
        <v>3928</v>
      </c>
      <c r="H311" s="473"/>
      <c r="I311" s="463"/>
      <c r="J311" s="463"/>
    </row>
    <row r="312" spans="1:10" s="40" customFormat="1">
      <c r="A312" s="458">
        <v>295</v>
      </c>
      <c r="B312" s="417">
        <v>400</v>
      </c>
      <c r="C312" s="422">
        <v>500</v>
      </c>
      <c r="D312" s="422"/>
      <c r="E312" s="422"/>
      <c r="F312" s="425"/>
      <c r="G312" s="426" t="s">
        <v>3929</v>
      </c>
      <c r="H312" s="473"/>
      <c r="I312" s="463"/>
      <c r="J312" s="463"/>
    </row>
    <row r="313" spans="1:10" s="40" customFormat="1">
      <c r="A313" s="458">
        <v>295</v>
      </c>
      <c r="B313" s="417">
        <v>400</v>
      </c>
      <c r="C313" s="422">
        <v>600</v>
      </c>
      <c r="D313" s="422"/>
      <c r="E313" s="422"/>
      <c r="F313" s="425"/>
      <c r="G313" s="426" t="s">
        <v>3930</v>
      </c>
      <c r="H313" s="473"/>
      <c r="I313" s="424"/>
      <c r="J313" s="424"/>
    </row>
    <row r="314" spans="1:10" s="40" customFormat="1" ht="13.5" thickBot="1">
      <c r="A314" s="474">
        <v>295</v>
      </c>
      <c r="B314" s="475">
        <v>400</v>
      </c>
      <c r="C314" s="476">
        <v>900</v>
      </c>
      <c r="D314" s="476"/>
      <c r="E314" s="476"/>
      <c r="F314" s="477"/>
      <c r="G314" s="478" t="s">
        <v>3931</v>
      </c>
      <c r="H314" s="479"/>
      <c r="I314" s="480"/>
      <c r="J314" s="480"/>
    </row>
    <row r="315" spans="1:10" s="40" customFormat="1">
      <c r="A315" s="481"/>
      <c r="B315" s="481"/>
      <c r="H315" s="482"/>
      <c r="I315" s="483">
        <f>+I297</f>
        <v>164039938</v>
      </c>
      <c r="J315" s="483">
        <f>+J297</f>
        <v>160236604</v>
      </c>
    </row>
    <row r="316" spans="1:10" s="40" customFormat="1">
      <c r="A316" s="484"/>
      <c r="B316" s="484"/>
      <c r="C316" s="484"/>
      <c r="D316" s="484"/>
      <c r="E316" s="484"/>
      <c r="F316" s="484"/>
      <c r="G316" s="484"/>
      <c r="H316" s="485"/>
      <c r="I316" s="486"/>
      <c r="J316" s="486"/>
    </row>
    <row r="317" spans="1:10" s="40" customFormat="1">
      <c r="A317" s="481"/>
      <c r="B317" s="481"/>
      <c r="H317" s="482"/>
      <c r="I317" s="171"/>
      <c r="J317" s="171"/>
    </row>
    <row r="318" spans="1:10" s="40" customFormat="1">
      <c r="A318" s="481"/>
      <c r="H318" s="482"/>
      <c r="I318" s="171"/>
      <c r="J318" s="171"/>
    </row>
    <row r="319" spans="1:10" s="40" customFormat="1">
      <c r="A319" s="484"/>
      <c r="B319" s="484"/>
      <c r="C319" s="484"/>
      <c r="D319" s="484"/>
      <c r="E319" s="484"/>
      <c r="F319" s="484"/>
      <c r="G319" s="484"/>
      <c r="H319" s="485"/>
      <c r="I319" s="486"/>
      <c r="J319" s="486"/>
    </row>
    <row r="321" spans="1:10" s="40" customFormat="1">
      <c r="A321" s="484"/>
      <c r="B321" s="484"/>
      <c r="C321" s="484"/>
      <c r="D321" s="484"/>
      <c r="E321" s="484"/>
      <c r="F321" s="484"/>
      <c r="G321" s="484"/>
      <c r="H321" s="485"/>
      <c r="I321" s="486"/>
      <c r="J321" s="486"/>
    </row>
    <row r="322" spans="1:10" s="40" customFormat="1">
      <c r="A322" s="484"/>
      <c r="B322" s="484"/>
      <c r="C322" s="484"/>
      <c r="D322" s="484"/>
      <c r="E322" s="484"/>
      <c r="F322" s="484"/>
      <c r="G322" s="484"/>
      <c r="H322" s="485"/>
      <c r="I322" s="486"/>
      <c r="J322" s="486"/>
    </row>
  </sheetData>
  <mergeCells count="5">
    <mergeCell ref="A1:F1"/>
    <mergeCell ref="G1:G2"/>
    <mergeCell ref="H1:H2"/>
    <mergeCell ref="I1:I2"/>
    <mergeCell ref="J1:J2"/>
  </mergeCells>
  <printOptions horizontalCentered="1"/>
  <pageMargins left="0.59055118110236227" right="0.59055118110236227" top="0.59055118110236227" bottom="0.59055118110236227" header="0" footer="0"/>
  <pageSetup paperSize="9" scale="61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15"/>
  <sheetViews>
    <sheetView view="pageBreakPreview" zoomScale="60" zoomScaleNormal="120" workbookViewId="0">
      <selection activeCell="B22" sqref="B22"/>
    </sheetView>
  </sheetViews>
  <sheetFormatPr defaultRowHeight="12.75"/>
  <cols>
    <col min="1" max="1" width="6.28515625" style="847" customWidth="1"/>
    <col min="2" max="2" width="68.28515625" style="847" customWidth="1"/>
    <col min="3" max="3" width="15" style="892" customWidth="1"/>
    <col min="4" max="4" width="14.85546875" style="893" customWidth="1"/>
    <col min="5" max="5" width="15" style="846" bestFit="1" customWidth="1"/>
    <col min="6" max="6" width="85.28515625" style="846" bestFit="1" customWidth="1"/>
    <col min="7" max="251" width="9.140625" style="847"/>
    <col min="252" max="252" width="6.28515625" style="847" customWidth="1"/>
    <col min="253" max="253" width="72.28515625" style="847" bestFit="1" customWidth="1"/>
    <col min="254" max="254" width="15" style="847" customWidth="1"/>
    <col min="255" max="255" width="14.85546875" style="847" customWidth="1"/>
    <col min="256" max="256" width="8.5703125" style="847" customWidth="1"/>
    <col min="257" max="507" width="9.140625" style="847"/>
    <col min="508" max="508" width="6.28515625" style="847" customWidth="1"/>
    <col min="509" max="509" width="72.28515625" style="847" bestFit="1" customWidth="1"/>
    <col min="510" max="510" width="15" style="847" customWidth="1"/>
    <col min="511" max="511" width="14.85546875" style="847" customWidth="1"/>
    <col min="512" max="512" width="8.5703125" style="847" customWidth="1"/>
    <col min="513" max="763" width="9.140625" style="847"/>
    <col min="764" max="764" width="6.28515625" style="847" customWidth="1"/>
    <col min="765" max="765" width="72.28515625" style="847" bestFit="1" customWidth="1"/>
    <col min="766" max="766" width="15" style="847" customWidth="1"/>
    <col min="767" max="767" width="14.85546875" style="847" customWidth="1"/>
    <col min="768" max="768" width="8.5703125" style="847" customWidth="1"/>
    <col min="769" max="1019" width="9.140625" style="847"/>
    <col min="1020" max="1020" width="6.28515625" style="847" customWidth="1"/>
    <col min="1021" max="1021" width="72.28515625" style="847" bestFit="1" customWidth="1"/>
    <col min="1022" max="1022" width="15" style="847" customWidth="1"/>
    <col min="1023" max="1023" width="14.85546875" style="847" customWidth="1"/>
    <col min="1024" max="1024" width="8.5703125" style="847" customWidth="1"/>
    <col min="1025" max="1275" width="9.140625" style="847"/>
    <col min="1276" max="1276" width="6.28515625" style="847" customWidth="1"/>
    <col min="1277" max="1277" width="72.28515625" style="847" bestFit="1" customWidth="1"/>
    <col min="1278" max="1278" width="15" style="847" customWidth="1"/>
    <col min="1279" max="1279" width="14.85546875" style="847" customWidth="1"/>
    <col min="1280" max="1280" width="8.5703125" style="847" customWidth="1"/>
    <col min="1281" max="1531" width="9.140625" style="847"/>
    <col min="1532" max="1532" width="6.28515625" style="847" customWidth="1"/>
    <col min="1533" max="1533" width="72.28515625" style="847" bestFit="1" customWidth="1"/>
    <col min="1534" max="1534" width="15" style="847" customWidth="1"/>
    <col min="1535" max="1535" width="14.85546875" style="847" customWidth="1"/>
    <col min="1536" max="1536" width="8.5703125" style="847" customWidth="1"/>
    <col min="1537" max="1787" width="9.140625" style="847"/>
    <col min="1788" max="1788" width="6.28515625" style="847" customWidth="1"/>
    <col min="1789" max="1789" width="72.28515625" style="847" bestFit="1" customWidth="1"/>
    <col min="1790" max="1790" width="15" style="847" customWidth="1"/>
    <col min="1791" max="1791" width="14.85546875" style="847" customWidth="1"/>
    <col min="1792" max="1792" width="8.5703125" style="847" customWidth="1"/>
    <col min="1793" max="2043" width="9.140625" style="847"/>
    <col min="2044" max="2044" width="6.28515625" style="847" customWidth="1"/>
    <col min="2045" max="2045" width="72.28515625" style="847" bestFit="1" customWidth="1"/>
    <col min="2046" max="2046" width="15" style="847" customWidth="1"/>
    <col min="2047" max="2047" width="14.85546875" style="847" customWidth="1"/>
    <col min="2048" max="2048" width="8.5703125" style="847" customWidth="1"/>
    <col min="2049" max="2299" width="9.140625" style="847"/>
    <col min="2300" max="2300" width="6.28515625" style="847" customWidth="1"/>
    <col min="2301" max="2301" width="72.28515625" style="847" bestFit="1" customWidth="1"/>
    <col min="2302" max="2302" width="15" style="847" customWidth="1"/>
    <col min="2303" max="2303" width="14.85546875" style="847" customWidth="1"/>
    <col min="2304" max="2304" width="8.5703125" style="847" customWidth="1"/>
    <col min="2305" max="2555" width="9.140625" style="847"/>
    <col min="2556" max="2556" width="6.28515625" style="847" customWidth="1"/>
    <col min="2557" max="2557" width="72.28515625" style="847" bestFit="1" customWidth="1"/>
    <col min="2558" max="2558" width="15" style="847" customWidth="1"/>
    <col min="2559" max="2559" width="14.85546875" style="847" customWidth="1"/>
    <col min="2560" max="2560" width="8.5703125" style="847" customWidth="1"/>
    <col min="2561" max="2811" width="9.140625" style="847"/>
    <col min="2812" max="2812" width="6.28515625" style="847" customWidth="1"/>
    <col min="2813" max="2813" width="72.28515625" style="847" bestFit="1" customWidth="1"/>
    <col min="2814" max="2814" width="15" style="847" customWidth="1"/>
    <col min="2815" max="2815" width="14.85546875" style="847" customWidth="1"/>
    <col min="2816" max="2816" width="8.5703125" style="847" customWidth="1"/>
    <col min="2817" max="3067" width="9.140625" style="847"/>
    <col min="3068" max="3068" width="6.28515625" style="847" customWidth="1"/>
    <col min="3069" max="3069" width="72.28515625" style="847" bestFit="1" customWidth="1"/>
    <col min="3070" max="3070" width="15" style="847" customWidth="1"/>
    <col min="3071" max="3071" width="14.85546875" style="847" customWidth="1"/>
    <col min="3072" max="3072" width="8.5703125" style="847" customWidth="1"/>
    <col min="3073" max="3323" width="9.140625" style="847"/>
    <col min="3324" max="3324" width="6.28515625" style="847" customWidth="1"/>
    <col min="3325" max="3325" width="72.28515625" style="847" bestFit="1" customWidth="1"/>
    <col min="3326" max="3326" width="15" style="847" customWidth="1"/>
    <col min="3327" max="3327" width="14.85546875" style="847" customWidth="1"/>
    <col min="3328" max="3328" width="8.5703125" style="847" customWidth="1"/>
    <col min="3329" max="3579" width="9.140625" style="847"/>
    <col min="3580" max="3580" width="6.28515625" style="847" customWidth="1"/>
    <col min="3581" max="3581" width="72.28515625" style="847" bestFit="1" customWidth="1"/>
    <col min="3582" max="3582" width="15" style="847" customWidth="1"/>
    <col min="3583" max="3583" width="14.85546875" style="847" customWidth="1"/>
    <col min="3584" max="3584" width="8.5703125" style="847" customWidth="1"/>
    <col min="3585" max="3835" width="9.140625" style="847"/>
    <col min="3836" max="3836" width="6.28515625" style="847" customWidth="1"/>
    <col min="3837" max="3837" width="72.28515625" style="847" bestFit="1" customWidth="1"/>
    <col min="3838" max="3838" width="15" style="847" customWidth="1"/>
    <col min="3839" max="3839" width="14.85546875" style="847" customWidth="1"/>
    <col min="3840" max="3840" width="8.5703125" style="847" customWidth="1"/>
    <col min="3841" max="4091" width="9.140625" style="847"/>
    <col min="4092" max="4092" width="6.28515625" style="847" customWidth="1"/>
    <col min="4093" max="4093" width="72.28515625" style="847" bestFit="1" customWidth="1"/>
    <col min="4094" max="4094" width="15" style="847" customWidth="1"/>
    <col min="4095" max="4095" width="14.85546875" style="847" customWidth="1"/>
    <col min="4096" max="4096" width="8.5703125" style="847" customWidth="1"/>
    <col min="4097" max="4347" width="9.140625" style="847"/>
    <col min="4348" max="4348" width="6.28515625" style="847" customWidth="1"/>
    <col min="4349" max="4349" width="72.28515625" style="847" bestFit="1" customWidth="1"/>
    <col min="4350" max="4350" width="15" style="847" customWidth="1"/>
    <col min="4351" max="4351" width="14.85546875" style="847" customWidth="1"/>
    <col min="4352" max="4352" width="8.5703125" style="847" customWidth="1"/>
    <col min="4353" max="4603" width="9.140625" style="847"/>
    <col min="4604" max="4604" width="6.28515625" style="847" customWidth="1"/>
    <col min="4605" max="4605" width="72.28515625" style="847" bestFit="1" customWidth="1"/>
    <col min="4606" max="4606" width="15" style="847" customWidth="1"/>
    <col min="4607" max="4607" width="14.85546875" style="847" customWidth="1"/>
    <col min="4608" max="4608" width="8.5703125" style="847" customWidth="1"/>
    <col min="4609" max="4859" width="9.140625" style="847"/>
    <col min="4860" max="4860" width="6.28515625" style="847" customWidth="1"/>
    <col min="4861" max="4861" width="72.28515625" style="847" bestFit="1" customWidth="1"/>
    <col min="4862" max="4862" width="15" style="847" customWidth="1"/>
    <col min="4863" max="4863" width="14.85546875" style="847" customWidth="1"/>
    <col min="4864" max="4864" width="8.5703125" style="847" customWidth="1"/>
    <col min="4865" max="5115" width="9.140625" style="847"/>
    <col min="5116" max="5116" width="6.28515625" style="847" customWidth="1"/>
    <col min="5117" max="5117" width="72.28515625" style="847" bestFit="1" customWidth="1"/>
    <col min="5118" max="5118" width="15" style="847" customWidth="1"/>
    <col min="5119" max="5119" width="14.85546875" style="847" customWidth="1"/>
    <col min="5120" max="5120" width="8.5703125" style="847" customWidth="1"/>
    <col min="5121" max="5371" width="9.140625" style="847"/>
    <col min="5372" max="5372" width="6.28515625" style="847" customWidth="1"/>
    <col min="5373" max="5373" width="72.28515625" style="847" bestFit="1" customWidth="1"/>
    <col min="5374" max="5374" width="15" style="847" customWidth="1"/>
    <col min="5375" max="5375" width="14.85546875" style="847" customWidth="1"/>
    <col min="5376" max="5376" width="8.5703125" style="847" customWidth="1"/>
    <col min="5377" max="5627" width="9.140625" style="847"/>
    <col min="5628" max="5628" width="6.28515625" style="847" customWidth="1"/>
    <col min="5629" max="5629" width="72.28515625" style="847" bestFit="1" customWidth="1"/>
    <col min="5630" max="5630" width="15" style="847" customWidth="1"/>
    <col min="5631" max="5631" width="14.85546875" style="847" customWidth="1"/>
    <col min="5632" max="5632" width="8.5703125" style="847" customWidth="1"/>
    <col min="5633" max="5883" width="9.140625" style="847"/>
    <col min="5884" max="5884" width="6.28515625" style="847" customWidth="1"/>
    <col min="5885" max="5885" width="72.28515625" style="847" bestFit="1" customWidth="1"/>
    <col min="5886" max="5886" width="15" style="847" customWidth="1"/>
    <col min="5887" max="5887" width="14.85546875" style="847" customWidth="1"/>
    <col min="5888" max="5888" width="8.5703125" style="847" customWidth="1"/>
    <col min="5889" max="6139" width="9.140625" style="847"/>
    <col min="6140" max="6140" width="6.28515625" style="847" customWidth="1"/>
    <col min="6141" max="6141" width="72.28515625" style="847" bestFit="1" customWidth="1"/>
    <col min="6142" max="6142" width="15" style="847" customWidth="1"/>
    <col min="6143" max="6143" width="14.85546875" style="847" customWidth="1"/>
    <col min="6144" max="6144" width="8.5703125" style="847" customWidth="1"/>
    <col min="6145" max="6395" width="9.140625" style="847"/>
    <col min="6396" max="6396" width="6.28515625" style="847" customWidth="1"/>
    <col min="6397" max="6397" width="72.28515625" style="847" bestFit="1" customWidth="1"/>
    <col min="6398" max="6398" width="15" style="847" customWidth="1"/>
    <col min="6399" max="6399" width="14.85546875" style="847" customWidth="1"/>
    <col min="6400" max="6400" width="8.5703125" style="847" customWidth="1"/>
    <col min="6401" max="6651" width="9.140625" style="847"/>
    <col min="6652" max="6652" width="6.28515625" style="847" customWidth="1"/>
    <col min="6653" max="6653" width="72.28515625" style="847" bestFit="1" customWidth="1"/>
    <col min="6654" max="6654" width="15" style="847" customWidth="1"/>
    <col min="6655" max="6655" width="14.85546875" style="847" customWidth="1"/>
    <col min="6656" max="6656" width="8.5703125" style="847" customWidth="1"/>
    <col min="6657" max="6907" width="9.140625" style="847"/>
    <col min="6908" max="6908" width="6.28515625" style="847" customWidth="1"/>
    <col min="6909" max="6909" width="72.28515625" style="847" bestFit="1" customWidth="1"/>
    <col min="6910" max="6910" width="15" style="847" customWidth="1"/>
    <col min="6911" max="6911" width="14.85546875" style="847" customWidth="1"/>
    <col min="6912" max="6912" width="8.5703125" style="847" customWidth="1"/>
    <col min="6913" max="7163" width="9.140625" style="847"/>
    <col min="7164" max="7164" width="6.28515625" style="847" customWidth="1"/>
    <col min="7165" max="7165" width="72.28515625" style="847" bestFit="1" customWidth="1"/>
    <col min="7166" max="7166" width="15" style="847" customWidth="1"/>
    <col min="7167" max="7167" width="14.85546875" style="847" customWidth="1"/>
    <col min="7168" max="7168" width="8.5703125" style="847" customWidth="1"/>
    <col min="7169" max="7419" width="9.140625" style="847"/>
    <col min="7420" max="7420" width="6.28515625" style="847" customWidth="1"/>
    <col min="7421" max="7421" width="72.28515625" style="847" bestFit="1" customWidth="1"/>
    <col min="7422" max="7422" width="15" style="847" customWidth="1"/>
    <col min="7423" max="7423" width="14.85546875" style="847" customWidth="1"/>
    <col min="7424" max="7424" width="8.5703125" style="847" customWidth="1"/>
    <col min="7425" max="7675" width="9.140625" style="847"/>
    <col min="7676" max="7676" width="6.28515625" style="847" customWidth="1"/>
    <col min="7677" max="7677" width="72.28515625" style="847" bestFit="1" customWidth="1"/>
    <col min="7678" max="7678" width="15" style="847" customWidth="1"/>
    <col min="7679" max="7679" width="14.85546875" style="847" customWidth="1"/>
    <col min="7680" max="7680" width="8.5703125" style="847" customWidth="1"/>
    <col min="7681" max="7931" width="9.140625" style="847"/>
    <col min="7932" max="7932" width="6.28515625" style="847" customWidth="1"/>
    <col min="7933" max="7933" width="72.28515625" style="847" bestFit="1" customWidth="1"/>
    <col min="7934" max="7934" width="15" style="847" customWidth="1"/>
    <col min="7935" max="7935" width="14.85546875" style="847" customWidth="1"/>
    <col min="7936" max="7936" width="8.5703125" style="847" customWidth="1"/>
    <col min="7937" max="8187" width="9.140625" style="847"/>
    <col min="8188" max="8188" width="6.28515625" style="847" customWidth="1"/>
    <col min="8189" max="8189" width="72.28515625" style="847" bestFit="1" customWidth="1"/>
    <col min="8190" max="8190" width="15" style="847" customWidth="1"/>
    <col min="8191" max="8191" width="14.85546875" style="847" customWidth="1"/>
    <col min="8192" max="8192" width="8.5703125" style="847" customWidth="1"/>
    <col min="8193" max="8443" width="9.140625" style="847"/>
    <col min="8444" max="8444" width="6.28515625" style="847" customWidth="1"/>
    <col min="8445" max="8445" width="72.28515625" style="847" bestFit="1" customWidth="1"/>
    <col min="8446" max="8446" width="15" style="847" customWidth="1"/>
    <col min="8447" max="8447" width="14.85546875" style="847" customWidth="1"/>
    <col min="8448" max="8448" width="8.5703125" style="847" customWidth="1"/>
    <col min="8449" max="8699" width="9.140625" style="847"/>
    <col min="8700" max="8700" width="6.28515625" style="847" customWidth="1"/>
    <col min="8701" max="8701" width="72.28515625" style="847" bestFit="1" customWidth="1"/>
    <col min="8702" max="8702" width="15" style="847" customWidth="1"/>
    <col min="8703" max="8703" width="14.85546875" style="847" customWidth="1"/>
    <col min="8704" max="8704" width="8.5703125" style="847" customWidth="1"/>
    <col min="8705" max="8955" width="9.140625" style="847"/>
    <col min="8956" max="8956" width="6.28515625" style="847" customWidth="1"/>
    <col min="8957" max="8957" width="72.28515625" style="847" bestFit="1" customWidth="1"/>
    <col min="8958" max="8958" width="15" style="847" customWidth="1"/>
    <col min="8959" max="8959" width="14.85546875" style="847" customWidth="1"/>
    <col min="8960" max="8960" width="8.5703125" style="847" customWidth="1"/>
    <col min="8961" max="9211" width="9.140625" style="847"/>
    <col min="9212" max="9212" width="6.28515625" style="847" customWidth="1"/>
    <col min="9213" max="9213" width="72.28515625" style="847" bestFit="1" customWidth="1"/>
    <col min="9214" max="9214" width="15" style="847" customWidth="1"/>
    <col min="9215" max="9215" width="14.85546875" style="847" customWidth="1"/>
    <col min="9216" max="9216" width="8.5703125" style="847" customWidth="1"/>
    <col min="9217" max="9467" width="9.140625" style="847"/>
    <col min="9468" max="9468" width="6.28515625" style="847" customWidth="1"/>
    <col min="9469" max="9469" width="72.28515625" style="847" bestFit="1" customWidth="1"/>
    <col min="9470" max="9470" width="15" style="847" customWidth="1"/>
    <col min="9471" max="9471" width="14.85546875" style="847" customWidth="1"/>
    <col min="9472" max="9472" width="8.5703125" style="847" customWidth="1"/>
    <col min="9473" max="9723" width="9.140625" style="847"/>
    <col min="9724" max="9724" width="6.28515625" style="847" customWidth="1"/>
    <col min="9725" max="9725" width="72.28515625" style="847" bestFit="1" customWidth="1"/>
    <col min="9726" max="9726" width="15" style="847" customWidth="1"/>
    <col min="9727" max="9727" width="14.85546875" style="847" customWidth="1"/>
    <col min="9728" max="9728" width="8.5703125" style="847" customWidth="1"/>
    <col min="9729" max="9979" width="9.140625" style="847"/>
    <col min="9980" max="9980" width="6.28515625" style="847" customWidth="1"/>
    <col min="9981" max="9981" width="72.28515625" style="847" bestFit="1" customWidth="1"/>
    <col min="9982" max="9982" width="15" style="847" customWidth="1"/>
    <col min="9983" max="9983" width="14.85546875" style="847" customWidth="1"/>
    <col min="9984" max="9984" width="8.5703125" style="847" customWidth="1"/>
    <col min="9985" max="10235" width="9.140625" style="847"/>
    <col min="10236" max="10236" width="6.28515625" style="847" customWidth="1"/>
    <col min="10237" max="10237" width="72.28515625" style="847" bestFit="1" customWidth="1"/>
    <col min="10238" max="10238" width="15" style="847" customWidth="1"/>
    <col min="10239" max="10239" width="14.85546875" style="847" customWidth="1"/>
    <col min="10240" max="10240" width="8.5703125" style="847" customWidth="1"/>
    <col min="10241" max="10491" width="9.140625" style="847"/>
    <col min="10492" max="10492" width="6.28515625" style="847" customWidth="1"/>
    <col min="10493" max="10493" width="72.28515625" style="847" bestFit="1" customWidth="1"/>
    <col min="10494" max="10494" width="15" style="847" customWidth="1"/>
    <col min="10495" max="10495" width="14.85546875" style="847" customWidth="1"/>
    <col min="10496" max="10496" width="8.5703125" style="847" customWidth="1"/>
    <col min="10497" max="10747" width="9.140625" style="847"/>
    <col min="10748" max="10748" width="6.28515625" style="847" customWidth="1"/>
    <col min="10749" max="10749" width="72.28515625" style="847" bestFit="1" customWidth="1"/>
    <col min="10750" max="10750" width="15" style="847" customWidth="1"/>
    <col min="10751" max="10751" width="14.85546875" style="847" customWidth="1"/>
    <col min="10752" max="10752" width="8.5703125" style="847" customWidth="1"/>
    <col min="10753" max="11003" width="9.140625" style="847"/>
    <col min="11004" max="11004" width="6.28515625" style="847" customWidth="1"/>
    <col min="11005" max="11005" width="72.28515625" style="847" bestFit="1" customWidth="1"/>
    <col min="11006" max="11006" width="15" style="847" customWidth="1"/>
    <col min="11007" max="11007" width="14.85546875" style="847" customWidth="1"/>
    <col min="11008" max="11008" width="8.5703125" style="847" customWidth="1"/>
    <col min="11009" max="11259" width="9.140625" style="847"/>
    <col min="11260" max="11260" width="6.28515625" style="847" customWidth="1"/>
    <col min="11261" max="11261" width="72.28515625" style="847" bestFit="1" customWidth="1"/>
    <col min="11262" max="11262" width="15" style="847" customWidth="1"/>
    <col min="11263" max="11263" width="14.85546875" style="847" customWidth="1"/>
    <col min="11264" max="11264" width="8.5703125" style="847" customWidth="1"/>
    <col min="11265" max="11515" width="9.140625" style="847"/>
    <col min="11516" max="11516" width="6.28515625" style="847" customWidth="1"/>
    <col min="11517" max="11517" width="72.28515625" style="847" bestFit="1" customWidth="1"/>
    <col min="11518" max="11518" width="15" style="847" customWidth="1"/>
    <col min="11519" max="11519" width="14.85546875" style="847" customWidth="1"/>
    <col min="11520" max="11520" width="8.5703125" style="847" customWidth="1"/>
    <col min="11521" max="11771" width="9.140625" style="847"/>
    <col min="11772" max="11772" width="6.28515625" style="847" customWidth="1"/>
    <col min="11773" max="11773" width="72.28515625" style="847" bestFit="1" customWidth="1"/>
    <col min="11774" max="11774" width="15" style="847" customWidth="1"/>
    <col min="11775" max="11775" width="14.85546875" style="847" customWidth="1"/>
    <col min="11776" max="11776" width="8.5703125" style="847" customWidth="1"/>
    <col min="11777" max="12027" width="9.140625" style="847"/>
    <col min="12028" max="12028" width="6.28515625" style="847" customWidth="1"/>
    <col min="12029" max="12029" width="72.28515625" style="847" bestFit="1" customWidth="1"/>
    <col min="12030" max="12030" width="15" style="847" customWidth="1"/>
    <col min="12031" max="12031" width="14.85546875" style="847" customWidth="1"/>
    <col min="12032" max="12032" width="8.5703125" style="847" customWidth="1"/>
    <col min="12033" max="12283" width="9.140625" style="847"/>
    <col min="12284" max="12284" width="6.28515625" style="847" customWidth="1"/>
    <col min="12285" max="12285" width="72.28515625" style="847" bestFit="1" customWidth="1"/>
    <col min="12286" max="12286" width="15" style="847" customWidth="1"/>
    <col min="12287" max="12287" width="14.85546875" style="847" customWidth="1"/>
    <col min="12288" max="12288" width="8.5703125" style="847" customWidth="1"/>
    <col min="12289" max="12539" width="9.140625" style="847"/>
    <col min="12540" max="12540" width="6.28515625" style="847" customWidth="1"/>
    <col min="12541" max="12541" width="72.28515625" style="847" bestFit="1" customWidth="1"/>
    <col min="12542" max="12542" width="15" style="847" customWidth="1"/>
    <col min="12543" max="12543" width="14.85546875" style="847" customWidth="1"/>
    <col min="12544" max="12544" width="8.5703125" style="847" customWidth="1"/>
    <col min="12545" max="12795" width="9.140625" style="847"/>
    <col min="12796" max="12796" width="6.28515625" style="847" customWidth="1"/>
    <col min="12797" max="12797" width="72.28515625" style="847" bestFit="1" customWidth="1"/>
    <col min="12798" max="12798" width="15" style="847" customWidth="1"/>
    <col min="12799" max="12799" width="14.85546875" style="847" customWidth="1"/>
    <col min="12800" max="12800" width="8.5703125" style="847" customWidth="1"/>
    <col min="12801" max="13051" width="9.140625" style="847"/>
    <col min="13052" max="13052" width="6.28515625" style="847" customWidth="1"/>
    <col min="13053" max="13053" width="72.28515625" style="847" bestFit="1" customWidth="1"/>
    <col min="13054" max="13054" width="15" style="847" customWidth="1"/>
    <col min="13055" max="13055" width="14.85546875" style="847" customWidth="1"/>
    <col min="13056" max="13056" width="8.5703125" style="847" customWidth="1"/>
    <col min="13057" max="13307" width="9.140625" style="847"/>
    <col min="13308" max="13308" width="6.28515625" style="847" customWidth="1"/>
    <col min="13309" max="13309" width="72.28515625" style="847" bestFit="1" customWidth="1"/>
    <col min="13310" max="13310" width="15" style="847" customWidth="1"/>
    <col min="13311" max="13311" width="14.85546875" style="847" customWidth="1"/>
    <col min="13312" max="13312" width="8.5703125" style="847" customWidth="1"/>
    <col min="13313" max="13563" width="9.140625" style="847"/>
    <col min="13564" max="13564" width="6.28515625" style="847" customWidth="1"/>
    <col min="13565" max="13565" width="72.28515625" style="847" bestFit="1" customWidth="1"/>
    <col min="13566" max="13566" width="15" style="847" customWidth="1"/>
    <col min="13567" max="13567" width="14.85546875" style="847" customWidth="1"/>
    <col min="13568" max="13568" width="8.5703125" style="847" customWidth="1"/>
    <col min="13569" max="13819" width="9.140625" style="847"/>
    <col min="13820" max="13820" width="6.28515625" style="847" customWidth="1"/>
    <col min="13821" max="13821" width="72.28515625" style="847" bestFit="1" customWidth="1"/>
    <col min="13822" max="13822" width="15" style="847" customWidth="1"/>
    <col min="13823" max="13823" width="14.85546875" style="847" customWidth="1"/>
    <col min="13824" max="13824" width="8.5703125" style="847" customWidth="1"/>
    <col min="13825" max="14075" width="9.140625" style="847"/>
    <col min="14076" max="14076" width="6.28515625" style="847" customWidth="1"/>
    <col min="14077" max="14077" width="72.28515625" style="847" bestFit="1" customWidth="1"/>
    <col min="14078" max="14078" width="15" style="847" customWidth="1"/>
    <col min="14079" max="14079" width="14.85546875" style="847" customWidth="1"/>
    <col min="14080" max="14080" width="8.5703125" style="847" customWidth="1"/>
    <col min="14081" max="14331" width="9.140625" style="847"/>
    <col min="14332" max="14332" width="6.28515625" style="847" customWidth="1"/>
    <col min="14333" max="14333" width="72.28515625" style="847" bestFit="1" customWidth="1"/>
    <col min="14334" max="14334" width="15" style="847" customWidth="1"/>
    <col min="14335" max="14335" width="14.85546875" style="847" customWidth="1"/>
    <col min="14336" max="14336" width="8.5703125" style="847" customWidth="1"/>
    <col min="14337" max="14587" width="9.140625" style="847"/>
    <col min="14588" max="14588" width="6.28515625" style="847" customWidth="1"/>
    <col min="14589" max="14589" width="72.28515625" style="847" bestFit="1" customWidth="1"/>
    <col min="14590" max="14590" width="15" style="847" customWidth="1"/>
    <col min="14591" max="14591" width="14.85546875" style="847" customWidth="1"/>
    <col min="14592" max="14592" width="8.5703125" style="847" customWidth="1"/>
    <col min="14593" max="14843" width="9.140625" style="847"/>
    <col min="14844" max="14844" width="6.28515625" style="847" customWidth="1"/>
    <col min="14845" max="14845" width="72.28515625" style="847" bestFit="1" customWidth="1"/>
    <col min="14846" max="14846" width="15" style="847" customWidth="1"/>
    <col min="14847" max="14847" width="14.85546875" style="847" customWidth="1"/>
    <col min="14848" max="14848" width="8.5703125" style="847" customWidth="1"/>
    <col min="14849" max="15099" width="9.140625" style="847"/>
    <col min="15100" max="15100" width="6.28515625" style="847" customWidth="1"/>
    <col min="15101" max="15101" width="72.28515625" style="847" bestFit="1" customWidth="1"/>
    <col min="15102" max="15102" width="15" style="847" customWidth="1"/>
    <col min="15103" max="15103" width="14.85546875" style="847" customWidth="1"/>
    <col min="15104" max="15104" width="8.5703125" style="847" customWidth="1"/>
    <col min="15105" max="15355" width="9.140625" style="847"/>
    <col min="15356" max="15356" width="6.28515625" style="847" customWidth="1"/>
    <col min="15357" max="15357" width="72.28515625" style="847" bestFit="1" customWidth="1"/>
    <col min="15358" max="15358" width="15" style="847" customWidth="1"/>
    <col min="15359" max="15359" width="14.85546875" style="847" customWidth="1"/>
    <col min="15360" max="15360" width="8.5703125" style="847" customWidth="1"/>
    <col min="15361" max="15611" width="9.140625" style="847"/>
    <col min="15612" max="15612" width="6.28515625" style="847" customWidth="1"/>
    <col min="15613" max="15613" width="72.28515625" style="847" bestFit="1" customWidth="1"/>
    <col min="15614" max="15614" width="15" style="847" customWidth="1"/>
    <col min="15615" max="15615" width="14.85546875" style="847" customWidth="1"/>
    <col min="15616" max="15616" width="8.5703125" style="847" customWidth="1"/>
    <col min="15617" max="15867" width="9.140625" style="847"/>
    <col min="15868" max="15868" width="6.28515625" style="847" customWidth="1"/>
    <col min="15869" max="15869" width="72.28515625" style="847" bestFit="1" customWidth="1"/>
    <col min="15870" max="15870" width="15" style="847" customWidth="1"/>
    <col min="15871" max="15871" width="14.85546875" style="847" customWidth="1"/>
    <col min="15872" max="15872" width="8.5703125" style="847" customWidth="1"/>
    <col min="15873" max="16123" width="9.140625" style="847"/>
    <col min="16124" max="16124" width="6.28515625" style="847" customWidth="1"/>
    <col min="16125" max="16125" width="72.28515625" style="847" bestFit="1" customWidth="1"/>
    <col min="16126" max="16126" width="15" style="847" customWidth="1"/>
    <col min="16127" max="16127" width="14.85546875" style="847" customWidth="1"/>
    <col min="16128" max="16128" width="8.5703125" style="847" customWidth="1"/>
    <col min="16129" max="16384" width="9.140625" style="847"/>
  </cols>
  <sheetData>
    <row r="1" spans="1:7">
      <c r="A1" s="985" t="s">
        <v>4685</v>
      </c>
      <c r="B1" s="985"/>
      <c r="C1" s="845" t="s">
        <v>4802</v>
      </c>
      <c r="D1" s="845" t="s">
        <v>4686</v>
      </c>
    </row>
    <row r="2" spans="1:7">
      <c r="A2" s="848"/>
      <c r="B2" s="848"/>
      <c r="C2" s="849"/>
      <c r="D2" s="850"/>
      <c r="E2" s="847"/>
    </row>
    <row r="3" spans="1:7">
      <c r="A3" s="851" t="s">
        <v>4687</v>
      </c>
      <c r="B3" s="852"/>
      <c r="C3" s="853"/>
      <c r="D3" s="854"/>
      <c r="E3" s="847"/>
    </row>
    <row r="4" spans="1:7">
      <c r="A4" s="855" t="s">
        <v>4688</v>
      </c>
      <c r="B4" s="855" t="s">
        <v>4689</v>
      </c>
      <c r="C4" s="856">
        <f>+'Schema SP'!I122</f>
        <v>147116</v>
      </c>
      <c r="D4" s="857">
        <v>12415</v>
      </c>
      <c r="E4" s="847"/>
    </row>
    <row r="5" spans="1:7">
      <c r="A5" s="855"/>
      <c r="B5" s="858" t="s">
        <v>4690</v>
      </c>
      <c r="C5" s="859"/>
      <c r="D5" s="860"/>
      <c r="E5" s="847"/>
    </row>
    <row r="6" spans="1:7">
      <c r="A6" s="861" t="s">
        <v>4688</v>
      </c>
      <c r="B6" s="862" t="s">
        <v>4691</v>
      </c>
      <c r="C6" s="863">
        <f>+'Alimentazione CE Costi'!K801+'Alimentazione CE Costi'!K802</f>
        <v>1041321.5700000001</v>
      </c>
      <c r="D6" s="863">
        <v>957734.92</v>
      </c>
      <c r="E6" s="847"/>
    </row>
    <row r="7" spans="1:7">
      <c r="A7" s="861" t="s">
        <v>4688</v>
      </c>
      <c r="B7" s="862" t="s">
        <v>4692</v>
      </c>
      <c r="C7" s="863">
        <f>+'Alimentazione CE Costi'!K804+'Alimentazione CE Costi'!K805+'Alimentazione CE Costi'!K806+'Alimentazione CE Costi'!K807+'Alimentazione CE Costi'!K808</f>
        <v>1969151.72</v>
      </c>
      <c r="D7" s="863">
        <v>1819271.4999999998</v>
      </c>
      <c r="E7" s="847"/>
    </row>
    <row r="8" spans="1:7">
      <c r="A8" s="861" t="s">
        <v>4688</v>
      </c>
      <c r="B8" s="862" t="s">
        <v>4693</v>
      </c>
      <c r="C8" s="863">
        <f>+'Alimentazione CE Costi'!K791+'Alimentazione CE Costi'!K792+'Alimentazione CE Costi'!K793+'Alimentazione CE Costi'!K794+'Alimentazione CE Costi'!K795+'Alimentazione CE Costi'!K796+'Alimentazione CE Costi'!K797+'Alimentazione CE Costi'!K798</f>
        <v>15368.34</v>
      </c>
      <c r="D8" s="863">
        <v>12733.14</v>
      </c>
      <c r="E8" s="847"/>
    </row>
    <row r="9" spans="1:7">
      <c r="A9" s="851" t="s">
        <v>4694</v>
      </c>
      <c r="B9" s="864"/>
      <c r="C9" s="865">
        <f>SUM(C6:C8)</f>
        <v>3025841.63</v>
      </c>
      <c r="D9" s="865">
        <v>2789739.56</v>
      </c>
      <c r="E9" s="847"/>
    </row>
    <row r="10" spans="1:7">
      <c r="A10" s="861" t="s">
        <v>4695</v>
      </c>
      <c r="B10" s="862" t="s">
        <v>4696</v>
      </c>
      <c r="C10" s="863">
        <f>-('Alimentazione CE Ricavi'!K50+'Alimentazione CE Ricavi'!K51+'Alimentazione CE Ricavi'!K209+'Alimentazione CE Ricavi'!K210+'Alimentazione CE Ricavi'!K211+'Alimentazione CE Ricavi'!K212+'Alimentazione CE Ricavi'!K213+'Alimentazione CE Ricavi'!K214+'Alimentazione CE Ricavi'!K215)</f>
        <v>-2983004.72</v>
      </c>
      <c r="D10" s="863">
        <v>-2720312.42</v>
      </c>
      <c r="E10" s="847"/>
    </row>
    <row r="11" spans="1:7">
      <c r="A11" s="861" t="s">
        <v>4695</v>
      </c>
      <c r="B11" s="862" t="s">
        <v>4697</v>
      </c>
      <c r="C11" s="863">
        <f>-('Alimentazione CE Ricavi'!K53+'Alimentazione CE Ricavi'!K54+'Alimentazione CE Ricavi'!K55+'Alimentazione CE Ricavi'!K56+'Alimentazione CE Ricavi'!K57)</f>
        <v>-9231984.3000000007</v>
      </c>
      <c r="D11" s="863">
        <v>-2349149.16</v>
      </c>
      <c r="E11" s="847"/>
      <c r="F11" s="866"/>
    </row>
    <row r="12" spans="1:7">
      <c r="A12" s="851" t="s">
        <v>4698</v>
      </c>
      <c r="B12" s="864"/>
      <c r="C12" s="865">
        <f>SUM(C10:C11)</f>
        <v>-12214989.020000001</v>
      </c>
      <c r="D12" s="865">
        <v>-5069461.58</v>
      </c>
      <c r="E12" s="847"/>
    </row>
    <row r="13" spans="1:7">
      <c r="A13" s="861" t="s">
        <v>4688</v>
      </c>
      <c r="B13" s="861" t="s">
        <v>4699</v>
      </c>
      <c r="C13" s="863">
        <f>+'Alimentazione CE Costi'!K901+'Alimentazione CE Costi'!K902</f>
        <v>0</v>
      </c>
      <c r="D13" s="863">
        <v>0</v>
      </c>
      <c r="E13" s="847"/>
    </row>
    <row r="14" spans="1:7">
      <c r="A14" s="861" t="s">
        <v>4695</v>
      </c>
      <c r="B14" s="862" t="s">
        <v>4700</v>
      </c>
      <c r="C14" s="867">
        <f>'Alimentazione SP P'!I152-'Alimentazione SP P'!J152-'Rendiconto finanziario'!C13</f>
        <v>0</v>
      </c>
      <c r="D14" s="867">
        <v>0</v>
      </c>
      <c r="E14" s="847"/>
      <c r="F14" s="866"/>
      <c r="G14" s="868"/>
    </row>
    <row r="15" spans="1:7">
      <c r="A15" s="861" t="s">
        <v>4688</v>
      </c>
      <c r="B15" s="861" t="s">
        <v>4701</v>
      </c>
      <c r="C15" s="869">
        <f>+'Alimentazione CE Costi'!K486+'Alimentazione CE Costi'!K499+'Alimentazione CE Costi'!K512+'Alimentazione CE Costi'!K522+'Alimentazione CE Costi'!K537+'Alimentazione CE Costi'!K550+'Alimentazione CE Costi'!K563+'Alimentazione CE Costi'!K576+'Alimentazione CE Costi'!K589+'Alimentazione CE Costi'!K599+'Alimentazione CE Costi'!K614+'Alimentazione CE Costi'!K627+'Alimentazione CE Costi'!K640+'Alimentazione CE Costi'!K650+'Alimentazione CE Costi'!K665+'Alimentazione CE Costi'!K678+'Alimentazione CE Costi'!K691+'Alimentazione CE Costi'!K704+'Alimentazione CE Costi'!K717+'Alimentazione CE Costi'!K727+'Alimentazione CE Costi'!K742+'Alimentazione CE Costi'!K755</f>
        <v>0</v>
      </c>
      <c r="D15" s="869">
        <v>0</v>
      </c>
      <c r="E15" s="847"/>
      <c r="G15" s="868"/>
    </row>
    <row r="16" spans="1:7">
      <c r="A16" s="861" t="s">
        <v>4695</v>
      </c>
      <c r="B16" s="862" t="s">
        <v>4702</v>
      </c>
      <c r="C16" s="867">
        <f>+'Alimentazione SP P'!I153-'Alimentazione SP P'!J153-'Rendiconto finanziario'!C15</f>
        <v>0</v>
      </c>
      <c r="D16" s="867">
        <v>0</v>
      </c>
      <c r="E16" s="847"/>
    </row>
    <row r="17" spans="1:7">
      <c r="A17" s="851" t="s">
        <v>4703</v>
      </c>
      <c r="B17" s="864"/>
      <c r="C17" s="865">
        <f>SUM(C13:C16)</f>
        <v>0</v>
      </c>
      <c r="D17" s="865">
        <v>0</v>
      </c>
      <c r="E17" s="847"/>
      <c r="G17" s="870"/>
    </row>
    <row r="18" spans="1:7">
      <c r="A18" s="861" t="s">
        <v>4704</v>
      </c>
      <c r="B18" s="862" t="s">
        <v>4705</v>
      </c>
      <c r="C18" s="863">
        <v>0</v>
      </c>
      <c r="D18" s="863">
        <v>0</v>
      </c>
    </row>
    <row r="19" spans="1:7">
      <c r="A19" s="861" t="s">
        <v>4688</v>
      </c>
      <c r="B19" s="861" t="s">
        <v>4706</v>
      </c>
      <c r="C19" s="863">
        <f>+SUM('Alimentazione CE Costi'!K810:K870)</f>
        <v>312642.65000000002</v>
      </c>
      <c r="D19" s="863">
        <v>210612.54</v>
      </c>
    </row>
    <row r="20" spans="1:7">
      <c r="A20" s="871" t="s">
        <v>4695</v>
      </c>
      <c r="B20" s="871" t="s">
        <v>4707</v>
      </c>
      <c r="C20" s="863">
        <f>SUM('Alimentazione SP P'!I49:I110)-SUM('Alimentazione SP P'!J49:J110)-'Rendiconto finanziario'!C19</f>
        <v>-679705.65</v>
      </c>
      <c r="D20" s="863">
        <v>-2358766.54</v>
      </c>
      <c r="G20" s="870"/>
    </row>
    <row r="21" spans="1:7">
      <c r="A21" s="851" t="s">
        <v>4708</v>
      </c>
      <c r="B21" s="864"/>
      <c r="C21" s="865">
        <f>SUM(C18:C20)</f>
        <v>-367063</v>
      </c>
      <c r="D21" s="865">
        <v>-2148154</v>
      </c>
      <c r="E21" s="866"/>
      <c r="G21" s="870"/>
    </row>
    <row r="22" spans="1:7">
      <c r="A22" s="861" t="s">
        <v>4688</v>
      </c>
      <c r="B22" s="861" t="s">
        <v>4709</v>
      </c>
      <c r="C22" s="863">
        <f>+SUM('Alimentazione CE Costi'!K890:K922)+'Alimentazione CE Costi'!K973+'Alimentazione CE Costi'!K487+'Alimentazione CE Costi'!K500+'Alimentazione CE Costi'!K513+'Alimentazione CE Costi'!K523+'Alimentazione CE Costi'!K538+'Alimentazione CE Costi'!K551+'Alimentazione CE Costi'!K564+'Alimentazione CE Costi'!K577+'Alimentazione CE Costi'!K590+'Alimentazione CE Costi'!K600+'Alimentazione CE Costi'!K615+'Alimentazione CE Costi'!K628+'Alimentazione CE Costi'!K641+'Alimentazione CE Costi'!K651+'Alimentazione CE Costi'!K666+'Alimentazione CE Costi'!K679+'Alimentazione CE Costi'!K692+'Alimentazione CE Costi'!K705+'Alimentazione CE Costi'!K718+'Alimentazione CE Costi'!K728+'Alimentazione CE Costi'!K743+'Alimentazione CE Costi'!K756</f>
        <v>5352623.41</v>
      </c>
      <c r="D22" s="869">
        <v>10295536.76</v>
      </c>
      <c r="E22" s="847"/>
      <c r="G22" s="870"/>
    </row>
    <row r="23" spans="1:7">
      <c r="A23" s="861" t="s">
        <v>4695</v>
      </c>
      <c r="B23" s="862" t="s">
        <v>4710</v>
      </c>
      <c r="C23" s="863">
        <f>'Schema SP'!K130-'Rendiconto finanziario'!C22-'Rendiconto finanziario'!C11</f>
        <v>-330761.1099999994</v>
      </c>
      <c r="D23" s="863">
        <v>-2099454.5999999996</v>
      </c>
      <c r="E23" s="872"/>
      <c r="G23" s="870"/>
    </row>
    <row r="24" spans="1:7">
      <c r="A24" s="851" t="s">
        <v>4711</v>
      </c>
      <c r="B24" s="864"/>
      <c r="C24" s="865">
        <f>SUM(C22:C23)</f>
        <v>5021862.3000000007</v>
      </c>
      <c r="D24" s="865">
        <v>8196082.1600000001</v>
      </c>
      <c r="E24" s="911"/>
      <c r="G24" s="870"/>
    </row>
    <row r="25" spans="1:7">
      <c r="A25" s="873" t="s">
        <v>4712</v>
      </c>
      <c r="B25" s="873"/>
      <c r="C25" s="874">
        <f>C4+C9+C12+C17+C21+C24</f>
        <v>-4387232.09</v>
      </c>
      <c r="D25" s="874">
        <v>3780621.1400000006</v>
      </c>
      <c r="E25" s="847"/>
    </row>
    <row r="26" spans="1:7" ht="15">
      <c r="A26" s="875"/>
      <c r="B26" s="875"/>
      <c r="C26" s="876"/>
      <c r="D26" s="877"/>
      <c r="E26" s="847"/>
    </row>
    <row r="27" spans="1:7" ht="22.5">
      <c r="A27" s="861" t="s">
        <v>4713</v>
      </c>
      <c r="B27" s="878" t="s">
        <v>4714</v>
      </c>
      <c r="C27" s="863">
        <f>'Schema SP'!K139</f>
        <v>-2046903</v>
      </c>
      <c r="D27" s="863">
        <v>-1425813</v>
      </c>
      <c r="E27" s="847"/>
    </row>
    <row r="28" spans="1:7">
      <c r="A28" s="861" t="s">
        <v>4713</v>
      </c>
      <c r="B28" s="879" t="s">
        <v>4715</v>
      </c>
      <c r="C28" s="863">
        <f>'Schema SP'!K140</f>
        <v>0</v>
      </c>
      <c r="D28" s="863">
        <v>0</v>
      </c>
      <c r="E28" s="847"/>
    </row>
    <row r="29" spans="1:7">
      <c r="A29" s="861" t="s">
        <v>4713</v>
      </c>
      <c r="B29" s="879" t="s">
        <v>4716</v>
      </c>
      <c r="C29" s="863">
        <f>'Schema SP'!K141</f>
        <v>4982744</v>
      </c>
      <c r="D29" s="863">
        <v>-1771780</v>
      </c>
      <c r="E29" s="847"/>
    </row>
    <row r="30" spans="1:7">
      <c r="A30" s="861" t="s">
        <v>4713</v>
      </c>
      <c r="B30" s="879" t="s">
        <v>4717</v>
      </c>
      <c r="C30" s="867"/>
      <c r="D30" s="867"/>
    </row>
    <row r="31" spans="1:7">
      <c r="A31" s="861" t="s">
        <v>4713</v>
      </c>
      <c r="B31" s="879" t="s">
        <v>4719</v>
      </c>
      <c r="C31" s="863">
        <f>'Schema SP'!K149-'Rendiconto finanziario'!C94</f>
        <v>1187611</v>
      </c>
      <c r="D31" s="863">
        <v>1821038</v>
      </c>
      <c r="E31" s="847"/>
    </row>
    <row r="32" spans="1:7">
      <c r="A32" s="861" t="s">
        <v>4713</v>
      </c>
      <c r="B32" s="879" t="s">
        <v>4720</v>
      </c>
      <c r="C32" s="863">
        <f>'Schema SP'!K151</f>
        <v>-47030</v>
      </c>
      <c r="D32" s="863">
        <v>1760652</v>
      </c>
      <c r="E32" s="847"/>
    </row>
    <row r="33" spans="1:7">
      <c r="A33" s="861" t="s">
        <v>4713</v>
      </c>
      <c r="B33" s="879" t="s">
        <v>4721</v>
      </c>
      <c r="C33" s="863">
        <f>'Schema SP'!K153</f>
        <v>46869</v>
      </c>
      <c r="D33" s="863">
        <v>1633340</v>
      </c>
      <c r="E33" s="847"/>
    </row>
    <row r="34" spans="1:7">
      <c r="A34" s="861" t="s">
        <v>4713</v>
      </c>
      <c r="B34" s="879" t="s">
        <v>4722</v>
      </c>
      <c r="C34" s="863">
        <f>'Schema SP'!K138+'Schema SP'!K148+'Schema SP'!K152+'Schema SP'!K154-'Rendiconto finanziario'!C30</f>
        <v>-557847</v>
      </c>
      <c r="D34" s="863">
        <v>970086</v>
      </c>
    </row>
    <row r="35" spans="1:7">
      <c r="A35" s="855" t="s">
        <v>4713</v>
      </c>
      <c r="B35" s="855" t="s">
        <v>4723</v>
      </c>
      <c r="C35" s="850">
        <f>SUM(C27:C34)</f>
        <v>3565444</v>
      </c>
      <c r="D35" s="857">
        <v>2987523</v>
      </c>
      <c r="E35" s="866"/>
      <c r="F35" s="866"/>
      <c r="G35" s="870"/>
    </row>
    <row r="36" spans="1:7">
      <c r="A36" s="855" t="s">
        <v>4713</v>
      </c>
      <c r="B36" s="855" t="s">
        <v>4724</v>
      </c>
      <c r="C36" s="850">
        <f>'Schema SP'!K157+'Schema SP'!K158</f>
        <v>-398</v>
      </c>
      <c r="D36" s="850">
        <v>-29522</v>
      </c>
      <c r="E36" s="847"/>
      <c r="F36" s="866"/>
    </row>
    <row r="37" spans="1:7">
      <c r="A37" s="861" t="s">
        <v>4713</v>
      </c>
      <c r="B37" s="879" t="s">
        <v>4725</v>
      </c>
      <c r="C37" s="863">
        <v>0</v>
      </c>
      <c r="D37" s="863">
        <v>0</v>
      </c>
      <c r="E37" s="846" t="s">
        <v>4726</v>
      </c>
    </row>
    <row r="38" spans="1:7">
      <c r="A38" s="861" t="s">
        <v>4713</v>
      </c>
      <c r="B38" s="879" t="s">
        <v>4727</v>
      </c>
      <c r="C38" s="863">
        <f>-('Schema SP'!K52-'Schema SP'!K56)-'Schema SP'!K48</f>
        <v>1007577</v>
      </c>
      <c r="D38" s="863">
        <v>-4437112</v>
      </c>
    </row>
    <row r="39" spans="1:7">
      <c r="A39" s="861" t="s">
        <v>4713</v>
      </c>
      <c r="B39" s="879" t="s">
        <v>4728</v>
      </c>
      <c r="C39" s="863">
        <v>0</v>
      </c>
      <c r="D39" s="863">
        <v>0</v>
      </c>
      <c r="E39" s="846" t="s">
        <v>4726</v>
      </c>
    </row>
    <row r="40" spans="1:7">
      <c r="A40" s="861" t="s">
        <v>4713</v>
      </c>
      <c r="B40" s="879" t="s">
        <v>4729</v>
      </c>
      <c r="C40" s="863">
        <v>0</v>
      </c>
      <c r="D40" s="863">
        <v>0</v>
      </c>
      <c r="E40" s="846" t="s">
        <v>4726</v>
      </c>
    </row>
    <row r="41" spans="1:7">
      <c r="A41" s="861" t="s">
        <v>4713</v>
      </c>
      <c r="B41" s="879" t="s">
        <v>4730</v>
      </c>
      <c r="C41" s="863">
        <v>0</v>
      </c>
      <c r="D41" s="863">
        <v>0</v>
      </c>
      <c r="E41" s="846" t="s">
        <v>4726</v>
      </c>
    </row>
    <row r="42" spans="1:7">
      <c r="A42" s="861" t="s">
        <v>4713</v>
      </c>
      <c r="B42" s="879" t="s">
        <v>4731</v>
      </c>
      <c r="C42" s="863">
        <v>0</v>
      </c>
      <c r="D42" s="863">
        <v>0</v>
      </c>
      <c r="E42" s="846" t="s">
        <v>4726</v>
      </c>
    </row>
    <row r="43" spans="1:7">
      <c r="A43" s="861" t="s">
        <v>4713</v>
      </c>
      <c r="B43" s="879" t="s">
        <v>4732</v>
      </c>
      <c r="C43" s="863">
        <v>0</v>
      </c>
      <c r="D43" s="863">
        <v>0</v>
      </c>
      <c r="E43" s="846" t="s">
        <v>4726</v>
      </c>
    </row>
    <row r="44" spans="1:7">
      <c r="A44" s="861"/>
      <c r="B44" s="880"/>
      <c r="C44" s="863"/>
      <c r="D44" s="863"/>
      <c r="E44" s="847"/>
    </row>
    <row r="45" spans="1:7">
      <c r="A45" s="861" t="s">
        <v>4713</v>
      </c>
      <c r="B45" s="879" t="s">
        <v>4733</v>
      </c>
      <c r="C45" s="863">
        <f>-'Schema SP'!K58</f>
        <v>6691009</v>
      </c>
      <c r="D45" s="863">
        <v>-4110895</v>
      </c>
      <c r="E45" s="847"/>
    </row>
    <row r="46" spans="1:7">
      <c r="A46" s="861" t="s">
        <v>4713</v>
      </c>
      <c r="B46" s="879" t="s">
        <v>4734</v>
      </c>
      <c r="C46" s="863">
        <f>-'Schema SP'!K71</f>
        <v>0</v>
      </c>
      <c r="D46" s="863">
        <v>0</v>
      </c>
      <c r="E46" s="847"/>
      <c r="F46" s="905"/>
    </row>
    <row r="47" spans="1:7">
      <c r="A47" s="861" t="s">
        <v>4713</v>
      </c>
      <c r="B47" s="879" t="s">
        <v>4735</v>
      </c>
      <c r="C47" s="863">
        <f>-'Schema SP'!K72</f>
        <v>-1010996</v>
      </c>
      <c r="D47" s="863">
        <v>332861</v>
      </c>
      <c r="E47" s="847"/>
    </row>
    <row r="48" spans="1:7">
      <c r="A48" s="861" t="s">
        <v>4713</v>
      </c>
      <c r="B48" s="879" t="s">
        <v>4736</v>
      </c>
      <c r="C48" s="867"/>
      <c r="D48" s="867"/>
    </row>
    <row r="49" spans="1:7">
      <c r="A49" s="861" t="s">
        <v>4713</v>
      </c>
      <c r="B49" s="879" t="s">
        <v>4737</v>
      </c>
      <c r="C49" s="863">
        <f>-'Schema SP'!K76</f>
        <v>0</v>
      </c>
      <c r="D49" s="863">
        <v>0</v>
      </c>
      <c r="E49" s="847"/>
    </row>
    <row r="50" spans="1:7">
      <c r="A50" s="861" t="s">
        <v>4713</v>
      </c>
      <c r="B50" s="879" t="s">
        <v>4738</v>
      </c>
      <c r="C50" s="863">
        <f>-('Schema SP'!K77+'Schema SP'!K75+'Schema SP'!K57+'Schema SP'!K78)-'Rendiconto finanziario'!C48+'Rendiconto finanziario'!E51-25653.13</f>
        <v>-252612.13</v>
      </c>
      <c r="D50" s="863">
        <v>1037099</v>
      </c>
      <c r="E50" s="847" t="s">
        <v>4803</v>
      </c>
    </row>
    <row r="51" spans="1:7">
      <c r="A51" s="855" t="s">
        <v>4713</v>
      </c>
      <c r="B51" s="855" t="s">
        <v>4739</v>
      </c>
      <c r="C51" s="850">
        <f>SUM(C37:C50)</f>
        <v>6434977.8700000001</v>
      </c>
      <c r="D51" s="850">
        <v>-7178047</v>
      </c>
      <c r="E51" s="907">
        <f>-SUM('Alimentazione SP P'!I66:I110)+SUM('Alimentazione SP P'!J66:J110)</f>
        <v>367063</v>
      </c>
      <c r="F51" s="881" t="s">
        <v>4740</v>
      </c>
      <c r="G51" s="870"/>
    </row>
    <row r="52" spans="1:7">
      <c r="A52" s="871" t="s">
        <v>4713</v>
      </c>
      <c r="B52" s="879" t="s">
        <v>4741</v>
      </c>
      <c r="C52" s="869">
        <f>-('Schema SP'!K41+'Schema SP'!K42)</f>
        <v>-219697</v>
      </c>
      <c r="D52" s="869">
        <v>-83386</v>
      </c>
      <c r="E52" s="847"/>
    </row>
    <row r="53" spans="1:7">
      <c r="A53" s="871" t="s">
        <v>4713</v>
      </c>
      <c r="B53" s="879" t="s">
        <v>4742</v>
      </c>
      <c r="C53" s="869">
        <f>-('Schema SP'!K43+'Schema SP'!K44)</f>
        <v>0</v>
      </c>
      <c r="D53" s="869">
        <v>0</v>
      </c>
      <c r="E53" s="847"/>
    </row>
    <row r="54" spans="1:7">
      <c r="A54" s="855" t="s">
        <v>4713</v>
      </c>
      <c r="B54" s="882" t="s">
        <v>4743</v>
      </c>
      <c r="C54" s="850">
        <f>SUM(C52:C53)</f>
        <v>-219697</v>
      </c>
      <c r="D54" s="850">
        <v>-83386</v>
      </c>
      <c r="E54" s="847"/>
      <c r="G54" s="870"/>
    </row>
    <row r="55" spans="1:7">
      <c r="A55" s="855" t="s">
        <v>4713</v>
      </c>
      <c r="B55" s="855" t="s">
        <v>4744</v>
      </c>
      <c r="C55" s="850">
        <f>-('Schema SP'!K88+'Schema SP'!K89)</f>
        <v>62468</v>
      </c>
      <c r="D55" s="850">
        <v>143893</v>
      </c>
      <c r="E55" s="847"/>
      <c r="G55" s="870"/>
    </row>
    <row r="56" spans="1:7">
      <c r="A56" s="873" t="s">
        <v>4745</v>
      </c>
      <c r="B56" s="873"/>
      <c r="C56" s="874">
        <f>C35+C36+C51+C54+C55+C25</f>
        <v>5455562.7800000012</v>
      </c>
      <c r="D56" s="874">
        <v>-378917.859999999</v>
      </c>
      <c r="E56" s="847"/>
    </row>
    <row r="57" spans="1:7" ht="15">
      <c r="A57" s="875"/>
      <c r="B57" s="875"/>
      <c r="C57" s="876"/>
      <c r="D57" s="877"/>
      <c r="E57" s="847"/>
    </row>
    <row r="58" spans="1:7">
      <c r="A58" s="851" t="s">
        <v>4746</v>
      </c>
      <c r="B58" s="852"/>
      <c r="C58" s="853"/>
      <c r="D58" s="853"/>
      <c r="E58" s="846" t="s">
        <v>4718</v>
      </c>
    </row>
    <row r="59" spans="1:7">
      <c r="A59" s="861" t="s">
        <v>4695</v>
      </c>
      <c r="B59" s="862" t="s">
        <v>4747</v>
      </c>
      <c r="C59" s="867"/>
      <c r="D59" s="867"/>
      <c r="E59" s="846" t="s">
        <v>4718</v>
      </c>
    </row>
    <row r="60" spans="1:7">
      <c r="A60" s="861" t="s">
        <v>4695</v>
      </c>
      <c r="B60" s="862" t="s">
        <v>4748</v>
      </c>
      <c r="C60" s="867"/>
      <c r="D60" s="867"/>
      <c r="E60" s="846" t="s">
        <v>4718</v>
      </c>
    </row>
    <row r="61" spans="1:7">
      <c r="A61" s="861" t="s">
        <v>4695</v>
      </c>
      <c r="B61" s="862" t="s">
        <v>4749</v>
      </c>
      <c r="C61" s="867"/>
      <c r="D61" s="867"/>
      <c r="E61" s="846" t="s">
        <v>4718</v>
      </c>
    </row>
    <row r="62" spans="1:7">
      <c r="A62" s="861" t="s">
        <v>4695</v>
      </c>
      <c r="B62" s="862" t="s">
        <v>4750</v>
      </c>
      <c r="C62" s="867"/>
      <c r="D62" s="867"/>
      <c r="E62" s="846" t="s">
        <v>4718</v>
      </c>
    </row>
    <row r="63" spans="1:7">
      <c r="A63" s="861" t="s">
        <v>4695</v>
      </c>
      <c r="B63" s="862" t="s">
        <v>4751</v>
      </c>
      <c r="C63" s="867"/>
      <c r="D63" s="867">
        <v>-26352</v>
      </c>
      <c r="E63" s="847"/>
    </row>
    <row r="64" spans="1:7">
      <c r="A64" s="855" t="s">
        <v>4695</v>
      </c>
      <c r="B64" s="882" t="s">
        <v>4752</v>
      </c>
      <c r="C64" s="850">
        <f>SUM(C59:C63)</f>
        <v>0</v>
      </c>
      <c r="D64" s="850">
        <v>-26352</v>
      </c>
      <c r="E64" s="846" t="s">
        <v>4718</v>
      </c>
    </row>
    <row r="65" spans="1:5">
      <c r="A65" s="861" t="s">
        <v>4688</v>
      </c>
      <c r="B65" s="862" t="s">
        <v>4753</v>
      </c>
      <c r="C65" s="867"/>
      <c r="D65" s="867"/>
      <c r="E65" s="846" t="s">
        <v>4718</v>
      </c>
    </row>
    <row r="66" spans="1:5">
      <c r="A66" s="861" t="s">
        <v>4688</v>
      </c>
      <c r="B66" s="862" t="s">
        <v>4754</v>
      </c>
      <c r="C66" s="867"/>
      <c r="D66" s="867"/>
      <c r="E66" s="846" t="s">
        <v>4718</v>
      </c>
    </row>
    <row r="67" spans="1:5">
      <c r="A67" s="861" t="s">
        <v>4688</v>
      </c>
      <c r="B67" s="862" t="s">
        <v>4755</v>
      </c>
      <c r="C67" s="867"/>
      <c r="D67" s="867"/>
      <c r="E67" s="846" t="s">
        <v>4718</v>
      </c>
    </row>
    <row r="68" spans="1:5">
      <c r="A68" s="861" t="s">
        <v>4688</v>
      </c>
      <c r="B68" s="862" t="s">
        <v>4756</v>
      </c>
      <c r="C68" s="867"/>
      <c r="D68" s="867"/>
      <c r="E68" s="846" t="s">
        <v>4718</v>
      </c>
    </row>
    <row r="69" spans="1:5">
      <c r="A69" s="861" t="s">
        <v>4688</v>
      </c>
      <c r="B69" s="862" t="s">
        <v>4757</v>
      </c>
      <c r="C69" s="867"/>
      <c r="D69" s="867"/>
      <c r="E69" s="847"/>
    </row>
    <row r="70" spans="1:5">
      <c r="A70" s="855" t="s">
        <v>4688</v>
      </c>
      <c r="B70" s="882" t="s">
        <v>4758</v>
      </c>
      <c r="C70" s="850">
        <f>SUM(C65:C69)</f>
        <v>0</v>
      </c>
      <c r="D70" s="850">
        <v>0</v>
      </c>
      <c r="E70" s="846" t="s">
        <v>4718</v>
      </c>
    </row>
    <row r="71" spans="1:5">
      <c r="A71" s="861" t="s">
        <v>4695</v>
      </c>
      <c r="B71" s="862" t="s">
        <v>4759</v>
      </c>
      <c r="C71" s="867"/>
      <c r="D71" s="867"/>
      <c r="E71" s="846" t="s">
        <v>4718</v>
      </c>
    </row>
    <row r="72" spans="1:5">
      <c r="A72" s="861" t="s">
        <v>4695</v>
      </c>
      <c r="B72" s="862" t="s">
        <v>4760</v>
      </c>
      <c r="C72" s="867"/>
      <c r="D72" s="867"/>
      <c r="E72" s="846" t="s">
        <v>4718</v>
      </c>
    </row>
    <row r="73" spans="1:5">
      <c r="A73" s="861" t="s">
        <v>4695</v>
      </c>
      <c r="B73" s="862" t="s">
        <v>4761</v>
      </c>
      <c r="C73" s="867"/>
      <c r="D73" s="867"/>
      <c r="E73" s="846" t="s">
        <v>4718</v>
      </c>
    </row>
    <row r="74" spans="1:5">
      <c r="A74" s="861" t="s">
        <v>4695</v>
      </c>
      <c r="B74" s="862" t="s">
        <v>4762</v>
      </c>
      <c r="C74" s="867">
        <v>-2177842.5</v>
      </c>
      <c r="D74" s="867">
        <v>-1425996.63</v>
      </c>
      <c r="E74" s="846" t="s">
        <v>4718</v>
      </c>
    </row>
    <row r="75" spans="1:5">
      <c r="A75" s="861" t="s">
        <v>4695</v>
      </c>
      <c r="B75" s="862" t="s">
        <v>4763</v>
      </c>
      <c r="C75" s="867">
        <v>-271220</v>
      </c>
      <c r="D75" s="867">
        <v>-108713.36</v>
      </c>
      <c r="E75" s="846" t="s">
        <v>4718</v>
      </c>
    </row>
    <row r="76" spans="1:5">
      <c r="A76" s="861" t="s">
        <v>4695</v>
      </c>
      <c r="B76" s="862" t="s">
        <v>4764</v>
      </c>
      <c r="C76" s="867"/>
      <c r="D76" s="867"/>
      <c r="E76" s="846" t="s">
        <v>4718</v>
      </c>
    </row>
    <row r="77" spans="1:5">
      <c r="A77" s="861" t="s">
        <v>4695</v>
      </c>
      <c r="B77" s="862" t="s">
        <v>4765</v>
      </c>
      <c r="C77" s="867">
        <v>-101697</v>
      </c>
      <c r="D77" s="867">
        <v>-344579.79</v>
      </c>
      <c r="E77" s="846" t="s">
        <v>4718</v>
      </c>
    </row>
    <row r="78" spans="1:5">
      <c r="A78" s="861" t="s">
        <v>4695</v>
      </c>
      <c r="B78" s="862" t="s">
        <v>4766</v>
      </c>
      <c r="C78" s="867">
        <v>-2258522</v>
      </c>
      <c r="D78" s="867">
        <v>-2084737.51</v>
      </c>
      <c r="E78" s="847"/>
    </row>
    <row r="79" spans="1:5">
      <c r="A79" s="855" t="s">
        <v>4695</v>
      </c>
      <c r="B79" s="882" t="s">
        <v>4767</v>
      </c>
      <c r="C79" s="850">
        <f>SUM(C71:C78)</f>
        <v>-4809281.5</v>
      </c>
      <c r="D79" s="850">
        <v>-3964027.29</v>
      </c>
      <c r="E79" s="846" t="s">
        <v>4718</v>
      </c>
    </row>
    <row r="80" spans="1:5">
      <c r="A80" s="861" t="s">
        <v>4688</v>
      </c>
      <c r="B80" s="862" t="s">
        <v>4768</v>
      </c>
      <c r="C80" s="867"/>
      <c r="D80" s="867"/>
      <c r="E80" s="846" t="s">
        <v>4718</v>
      </c>
    </row>
    <row r="81" spans="1:6">
      <c r="A81" s="861" t="s">
        <v>4688</v>
      </c>
      <c r="B81" s="862" t="s">
        <v>4769</v>
      </c>
      <c r="C81" s="867">
        <v>367859</v>
      </c>
      <c r="D81" s="867"/>
      <c r="E81" s="846" t="s">
        <v>4718</v>
      </c>
    </row>
    <row r="82" spans="1:6">
      <c r="A82" s="861" t="s">
        <v>4688</v>
      </c>
      <c r="B82" s="862" t="s">
        <v>4770</v>
      </c>
      <c r="C82" s="867"/>
      <c r="D82" s="867"/>
      <c r="E82" s="846" t="s">
        <v>4718</v>
      </c>
    </row>
    <row r="83" spans="1:6">
      <c r="A83" s="861" t="s">
        <v>4688</v>
      </c>
      <c r="B83" s="862" t="s">
        <v>4771</v>
      </c>
      <c r="C83" s="867">
        <v>5722</v>
      </c>
      <c r="D83" s="867"/>
      <c r="E83" s="846" t="s">
        <v>4718</v>
      </c>
    </row>
    <row r="84" spans="1:6">
      <c r="A84" s="861" t="s">
        <v>4688</v>
      </c>
      <c r="B84" s="862" t="s">
        <v>4772</v>
      </c>
      <c r="C84" s="867"/>
      <c r="D84" s="867"/>
      <c r="E84" s="846" t="s">
        <v>4718</v>
      </c>
    </row>
    <row r="85" spans="1:6">
      <c r="A85" s="861" t="s">
        <v>4688</v>
      </c>
      <c r="B85" s="862" t="s">
        <v>4773</v>
      </c>
      <c r="C85" s="867"/>
      <c r="D85" s="867"/>
      <c r="E85" s="846" t="s">
        <v>4718</v>
      </c>
    </row>
    <row r="86" spans="1:6">
      <c r="A86" s="861" t="s">
        <v>4688</v>
      </c>
      <c r="B86" s="862" t="s">
        <v>4774</v>
      </c>
      <c r="C86" s="867"/>
      <c r="D86" s="867"/>
      <c r="E86" s="847"/>
    </row>
    <row r="87" spans="1:6">
      <c r="A87" s="855" t="s">
        <v>4688</v>
      </c>
      <c r="B87" s="882" t="s">
        <v>4775</v>
      </c>
      <c r="C87" s="850">
        <f>SUM(C80:C86)</f>
        <v>373581</v>
      </c>
      <c r="D87" s="850">
        <v>0</v>
      </c>
      <c r="E87" s="846" t="s">
        <v>4718</v>
      </c>
    </row>
    <row r="88" spans="1:6">
      <c r="A88" s="861" t="s">
        <v>4695</v>
      </c>
      <c r="B88" s="862" t="s">
        <v>4776</v>
      </c>
      <c r="C88" s="867"/>
      <c r="D88" s="867">
        <v>91641</v>
      </c>
      <c r="E88" s="846" t="s">
        <v>4718</v>
      </c>
    </row>
    <row r="89" spans="1:6">
      <c r="A89" s="861" t="s">
        <v>4695</v>
      </c>
      <c r="B89" s="862" t="s">
        <v>4777</v>
      </c>
      <c r="C89" s="867"/>
      <c r="D89" s="867"/>
      <c r="E89" s="847"/>
    </row>
    <row r="90" spans="1:6">
      <c r="A90" s="855" t="s">
        <v>4695</v>
      </c>
      <c r="B90" s="882" t="s">
        <v>4778</v>
      </c>
      <c r="C90" s="850">
        <f>SUM(C88:C89)</f>
        <v>0</v>
      </c>
      <c r="D90" s="850">
        <v>91641</v>
      </c>
      <c r="E90" s="846" t="s">
        <v>4718</v>
      </c>
    </row>
    <row r="91" spans="1:6">
      <c r="A91" s="861" t="s">
        <v>4688</v>
      </c>
      <c r="B91" s="862" t="s">
        <v>4779</v>
      </c>
      <c r="C91" s="867">
        <v>3000</v>
      </c>
      <c r="D91" s="867"/>
      <c r="E91" s="846" t="s">
        <v>4718</v>
      </c>
    </row>
    <row r="92" spans="1:6">
      <c r="A92" s="861" t="s">
        <v>4688</v>
      </c>
      <c r="B92" s="862" t="s">
        <v>4780</v>
      </c>
      <c r="C92" s="867"/>
      <c r="D92" s="867"/>
      <c r="E92" s="847"/>
    </row>
    <row r="93" spans="1:6">
      <c r="A93" s="855" t="s">
        <v>4688</v>
      </c>
      <c r="B93" s="882" t="s">
        <v>4781</v>
      </c>
      <c r="C93" s="850">
        <f>SUM(C91:C92)</f>
        <v>3000</v>
      </c>
      <c r="D93" s="850">
        <v>0</v>
      </c>
      <c r="E93" s="846" t="s">
        <v>4718</v>
      </c>
    </row>
    <row r="94" spans="1:6">
      <c r="A94" s="855" t="s">
        <v>4704</v>
      </c>
      <c r="B94" s="882" t="s">
        <v>4782</v>
      </c>
      <c r="C94" s="883"/>
      <c r="D94" s="883"/>
      <c r="E94" s="866" t="s">
        <v>4784</v>
      </c>
    </row>
    <row r="95" spans="1:6">
      <c r="A95" s="873" t="s">
        <v>4783</v>
      </c>
      <c r="B95" s="873"/>
      <c r="C95" s="874">
        <f>C64+C70+C79+C87+C90+C93+C94</f>
        <v>-4432700.5</v>
      </c>
      <c r="D95" s="874">
        <v>-3898738.29</v>
      </c>
      <c r="E95" s="866">
        <f>-('Schema SP'!K37)-SUM('Alimentazione CE Costi'!K817:K826)-SUM('Alimentazione SP P'!I50:I64)+SUM('Alimentazione SP P'!J50:J64)-C9</f>
        <v>-4432700.63</v>
      </c>
      <c r="F95" s="909"/>
    </row>
    <row r="96" spans="1:6" ht="15">
      <c r="A96" s="875"/>
      <c r="B96" s="875"/>
      <c r="C96" s="876"/>
      <c r="D96" s="877"/>
      <c r="E96" s="847"/>
      <c r="F96" s="909"/>
    </row>
    <row r="97" spans="1:6">
      <c r="A97" s="851" t="s">
        <v>4785</v>
      </c>
      <c r="B97" s="852"/>
      <c r="C97" s="853"/>
      <c r="D97" s="854"/>
      <c r="E97" s="847"/>
      <c r="F97" s="909"/>
    </row>
    <row r="98" spans="1:6">
      <c r="A98" s="861" t="s">
        <v>4713</v>
      </c>
      <c r="B98" s="861" t="s">
        <v>4786</v>
      </c>
      <c r="C98" s="863">
        <f>-('Schema SP'!K51+'Schema SP'!K56)</f>
        <v>368084</v>
      </c>
      <c r="D98" s="863">
        <v>-373364</v>
      </c>
      <c r="E98" s="847"/>
      <c r="F98" s="909"/>
    </row>
    <row r="99" spans="1:6">
      <c r="A99" s="861" t="s">
        <v>4713</v>
      </c>
      <c r="B99" s="861" t="s">
        <v>4787</v>
      </c>
      <c r="C99" s="863">
        <f>-'Schema SP'!K67</f>
        <v>191744</v>
      </c>
      <c r="D99" s="863"/>
      <c r="E99" s="847"/>
    </row>
    <row r="100" spans="1:6">
      <c r="A100" s="861" t="s">
        <v>4713</v>
      </c>
      <c r="B100" s="861" t="s">
        <v>4788</v>
      </c>
      <c r="C100" s="863">
        <f>-'Schema SP'!K68</f>
        <v>0</v>
      </c>
      <c r="D100" s="863">
        <v>0</v>
      </c>
      <c r="E100" s="847"/>
    </row>
    <row r="101" spans="1:6">
      <c r="A101" s="861" t="s">
        <v>4713</v>
      </c>
      <c r="B101" s="861" t="s">
        <v>4789</v>
      </c>
      <c r="C101" s="863">
        <f>-'Schema SP'!K69</f>
        <v>0</v>
      </c>
      <c r="D101" s="863">
        <v>0</v>
      </c>
      <c r="E101" s="847"/>
    </row>
    <row r="102" spans="1:6">
      <c r="A102" s="861" t="s">
        <v>4713</v>
      </c>
      <c r="B102" s="861" t="s">
        <v>4790</v>
      </c>
      <c r="C102" s="863">
        <f>-'Schema SP'!K70</f>
        <v>0</v>
      </c>
      <c r="D102" s="863">
        <v>0</v>
      </c>
      <c r="E102" s="847"/>
      <c r="F102" s="866"/>
    </row>
    <row r="103" spans="1:6">
      <c r="A103" s="855" t="s">
        <v>4688</v>
      </c>
      <c r="B103" s="855" t="s">
        <v>4791</v>
      </c>
      <c r="C103" s="850">
        <f>SUM(C98:C102)</f>
        <v>559828</v>
      </c>
      <c r="D103" s="850">
        <v>0</v>
      </c>
      <c r="E103" s="866"/>
    </row>
    <row r="104" spans="1:6">
      <c r="A104" s="861" t="s">
        <v>4688</v>
      </c>
      <c r="B104" s="861" t="s">
        <v>4792</v>
      </c>
      <c r="C104" s="863">
        <f>SUM('Alimentazione SP P'!I6:I18)+'Alimentazione SP P'!I26+'Alimentazione SP P'!I27-SUM('Alimentazione SP P'!J6:J18)-'Alimentazione SP P'!J26-'Alimentazione SP P'!J27-'Rendiconto finanziario'!C10</f>
        <v>4472065.7200000007</v>
      </c>
      <c r="D104" s="863">
        <v>8098064.4199999999</v>
      </c>
      <c r="E104" s="872"/>
    </row>
    <row r="105" spans="1:6">
      <c r="A105" s="861" t="s">
        <v>4713</v>
      </c>
      <c r="B105" s="861" t="s">
        <v>4793</v>
      </c>
      <c r="C105" s="863">
        <f>'Schema SP'!K123-'Schema SP'!K108-'Rendiconto finanziario'!C104-'Rendiconto finanziario'!C4-'Rendiconto finanziario'!C10</f>
        <v>630982.99999999953</v>
      </c>
      <c r="D105" s="863">
        <v>-389162</v>
      </c>
      <c r="E105" s="847"/>
      <c r="F105" s="905"/>
    </row>
    <row r="106" spans="1:6">
      <c r="A106" s="855" t="s">
        <v>4713</v>
      </c>
      <c r="B106" s="882" t="s">
        <v>4794</v>
      </c>
      <c r="C106" s="850">
        <f>SUM(C104:C105)</f>
        <v>5103048.7200000007</v>
      </c>
      <c r="D106" s="850">
        <v>7708902.4199999999</v>
      </c>
      <c r="E106" s="872"/>
      <c r="F106" s="866"/>
    </row>
    <row r="107" spans="1:6">
      <c r="A107" s="855" t="s">
        <v>4713</v>
      </c>
      <c r="B107" s="884" t="s">
        <v>4795</v>
      </c>
      <c r="C107" s="850">
        <f>'Schema SP'!K150</f>
        <v>0</v>
      </c>
      <c r="D107" s="850">
        <v>0</v>
      </c>
      <c r="E107" s="847"/>
      <c r="F107" s="908"/>
    </row>
    <row r="108" spans="1:6">
      <c r="A108" s="861" t="s">
        <v>4688</v>
      </c>
      <c r="B108" s="861" t="s">
        <v>4796</v>
      </c>
      <c r="C108" s="867"/>
      <c r="D108" s="867"/>
      <c r="E108" s="846" t="s">
        <v>4718</v>
      </c>
      <c r="F108" s="910"/>
    </row>
    <row r="109" spans="1:6">
      <c r="A109" s="861" t="s">
        <v>4695</v>
      </c>
      <c r="B109" s="861" t="s">
        <v>4797</v>
      </c>
      <c r="C109" s="863">
        <f>-C108+'Schema SP'!K137</f>
        <v>0</v>
      </c>
      <c r="D109" s="863">
        <v>0</v>
      </c>
      <c r="E109" s="847"/>
      <c r="F109" s="908"/>
    </row>
    <row r="110" spans="1:6">
      <c r="A110" s="873" t="s">
        <v>4798</v>
      </c>
      <c r="B110" s="873"/>
      <c r="C110" s="874">
        <f>+C103+C106+C107+C108+C109</f>
        <v>5662876.7200000007</v>
      </c>
      <c r="D110" s="874">
        <v>7335538.4199999999</v>
      </c>
      <c r="E110" s="847"/>
    </row>
    <row r="111" spans="1:6">
      <c r="A111" s="861"/>
      <c r="B111" s="861"/>
      <c r="C111" s="885"/>
      <c r="D111" s="869"/>
      <c r="E111" s="847"/>
    </row>
    <row r="112" spans="1:6">
      <c r="A112" s="851" t="s">
        <v>4799</v>
      </c>
      <c r="B112" s="852"/>
      <c r="C112" s="854">
        <f>+C56+C95+C110</f>
        <v>6685739.0000000019</v>
      </c>
      <c r="D112" s="854">
        <v>3057882.2700000005</v>
      </c>
      <c r="E112" s="872"/>
    </row>
    <row r="113" spans="1:5">
      <c r="A113" s="882" t="s">
        <v>4800</v>
      </c>
      <c r="B113" s="886"/>
      <c r="C113" s="887">
        <f>'Schema SP'!I81-'Schema SP'!J81</f>
        <v>6685739</v>
      </c>
      <c r="D113" s="887">
        <v>3057882</v>
      </c>
      <c r="E113" s="872"/>
    </row>
    <row r="114" spans="1:5">
      <c r="A114" s="861"/>
      <c r="B114" s="888"/>
      <c r="C114" s="849"/>
      <c r="D114" s="850"/>
      <c r="E114" s="847"/>
    </row>
    <row r="115" spans="1:5">
      <c r="A115" s="889" t="s">
        <v>4801</v>
      </c>
      <c r="B115" s="890"/>
      <c r="C115" s="891"/>
      <c r="D115" s="891"/>
      <c r="E115" s="866"/>
    </row>
  </sheetData>
  <mergeCells count="1">
    <mergeCell ref="A1:B1"/>
  </mergeCells>
  <printOptions horizontalCentered="1"/>
  <pageMargins left="0.59055118110236227" right="0.59055118110236227" top="0.59055118110236227" bottom="0.59055118110236227" header="0" footer="0"/>
  <pageSetup paperSize="9" scale="86" fitToHeight="0" orientation="portrait" r:id="rId1"/>
  <ignoredErrors>
    <ignoredError sqref="C19:C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53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996" t="s">
        <v>2210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2" ht="13.5" thickBot="1"/>
    <row r="3" spans="1:12" ht="16.899999999999999" customHeight="1" thickTop="1">
      <c r="A3" s="987" t="s">
        <v>2113</v>
      </c>
      <c r="B3" s="306"/>
      <c r="C3" s="990" t="s">
        <v>2114</v>
      </c>
      <c r="D3" s="986" t="s">
        <v>2105</v>
      </c>
      <c r="E3" s="986" t="s">
        <v>2106</v>
      </c>
      <c r="F3" s="989" t="s">
        <v>2107</v>
      </c>
      <c r="G3" s="989"/>
      <c r="H3" s="986" t="s">
        <v>2101</v>
      </c>
      <c r="I3" s="986" t="s">
        <v>2102</v>
      </c>
      <c r="J3" s="986" t="s">
        <v>2103</v>
      </c>
      <c r="K3" s="986" t="s">
        <v>2098</v>
      </c>
      <c r="L3" s="986" t="s">
        <v>2099</v>
      </c>
    </row>
    <row r="4" spans="1:12" ht="93" customHeight="1">
      <c r="A4" s="988"/>
      <c r="B4" s="307"/>
      <c r="C4" s="991"/>
      <c r="D4" s="986"/>
      <c r="E4" s="986"/>
      <c r="F4" s="986" t="s">
        <v>2108</v>
      </c>
      <c r="G4" s="986" t="s">
        <v>2109</v>
      </c>
      <c r="H4" s="986"/>
      <c r="I4" s="986"/>
      <c r="J4" s="986"/>
      <c r="K4" s="986"/>
      <c r="L4" s="986"/>
    </row>
    <row r="5" spans="1:12" ht="15.75">
      <c r="A5" s="259" t="s">
        <v>2115</v>
      </c>
      <c r="B5" s="308"/>
      <c r="C5" s="992"/>
      <c r="D5" s="986"/>
      <c r="E5" s="986"/>
      <c r="F5" s="986"/>
      <c r="G5" s="986"/>
      <c r="H5" s="986"/>
      <c r="I5" s="986"/>
      <c r="J5" s="986"/>
      <c r="K5" s="986"/>
      <c r="L5" s="986"/>
    </row>
    <row r="6" spans="1:12" ht="25.5">
      <c r="A6" s="260" t="s">
        <v>2116</v>
      </c>
      <c r="B6" s="309" t="s">
        <v>2117</v>
      </c>
      <c r="C6" s="288" t="s">
        <v>2118</v>
      </c>
      <c r="D6" s="294" t="e">
        <f>+'CE Min'!#REF!</f>
        <v>#REF!</v>
      </c>
      <c r="E6" s="294" t="e">
        <f>+'CE Min'!#REF!</f>
        <v>#REF!</v>
      </c>
      <c r="F6" s="294" t="e">
        <f>+'CE Min'!#REF!</f>
        <v>#REF!</v>
      </c>
      <c r="G6" s="294" t="e">
        <f>+'CE Min'!#REF!</f>
        <v>#REF!</v>
      </c>
      <c r="H6" s="294" t="e">
        <f>+'CE Min'!#REF!</f>
        <v>#REF!</v>
      </c>
      <c r="I6" s="294" t="e">
        <f>+'CE Min'!#REF!</f>
        <v>#REF!</v>
      </c>
      <c r="J6" s="294" t="e">
        <f>+'CE Min'!#REF!</f>
        <v>#REF!</v>
      </c>
      <c r="K6" s="294" t="e">
        <f>+'CE Min'!#REF!</f>
        <v>#REF!</v>
      </c>
      <c r="L6" s="294" t="e">
        <f>+'CE Min'!#REF!</f>
        <v>#REF!</v>
      </c>
    </row>
    <row r="7" spans="1:12" ht="25.5">
      <c r="A7" s="261" t="s">
        <v>2119</v>
      </c>
      <c r="B7" s="310">
        <f>+B6+1</f>
        <v>2</v>
      </c>
      <c r="C7" s="289" t="s">
        <v>203</v>
      </c>
      <c r="D7" s="294" t="e">
        <f>+'CE Min'!#REF!</f>
        <v>#REF!</v>
      </c>
      <c r="E7" s="294" t="e">
        <f>+'CE Min'!#REF!</f>
        <v>#REF!</v>
      </c>
      <c r="F7" s="294" t="e">
        <f>+'CE Min'!#REF!</f>
        <v>#REF!</v>
      </c>
      <c r="G7" s="294" t="e">
        <f>+'CE Min'!#REF!</f>
        <v>#REF!</v>
      </c>
      <c r="H7" s="294" t="e">
        <f>+'CE Min'!#REF!</f>
        <v>#REF!</v>
      </c>
      <c r="I7" s="294" t="e">
        <f>+'CE Min'!#REF!</f>
        <v>#REF!</v>
      </c>
      <c r="J7" s="294" t="e">
        <f>+'CE Min'!#REF!</f>
        <v>#REF!</v>
      </c>
      <c r="K7" s="294" t="e">
        <f>+'CE Min'!#REF!</f>
        <v>#REF!</v>
      </c>
      <c r="L7" s="294" t="e">
        <f>+'CE Min'!#REF!</f>
        <v>#REF!</v>
      </c>
    </row>
    <row r="8" spans="1:12">
      <c r="A8" s="261" t="s">
        <v>2120</v>
      </c>
      <c r="B8" s="310">
        <f t="shared" ref="B8:B18" si="0">+B7+1</f>
        <v>3</v>
      </c>
      <c r="C8" s="289" t="s">
        <v>158</v>
      </c>
      <c r="D8" s="294" t="e">
        <f>+'CE Min'!#REF!</f>
        <v>#REF!</v>
      </c>
      <c r="E8" s="294" t="e">
        <f>+'CE Min'!#REF!</f>
        <v>#REF!</v>
      </c>
      <c r="F8" s="294" t="e">
        <f>+'CE Min'!#REF!</f>
        <v>#REF!</v>
      </c>
      <c r="G8" s="294" t="e">
        <f>+'CE Min'!#REF!</f>
        <v>#REF!</v>
      </c>
      <c r="H8" s="294" t="e">
        <f>+'CE Min'!#REF!</f>
        <v>#REF!</v>
      </c>
      <c r="I8" s="294" t="e">
        <f>+'CE Min'!#REF!</f>
        <v>#REF!</v>
      </c>
      <c r="J8" s="294" t="e">
        <f>+'CE Min'!#REF!</f>
        <v>#REF!</v>
      </c>
      <c r="K8" s="294" t="e">
        <f>+'CE Min'!#REF!</f>
        <v>#REF!</v>
      </c>
      <c r="L8" s="294" t="e">
        <f>+'CE Min'!#REF!</f>
        <v>#REF!</v>
      </c>
    </row>
    <row r="9" spans="1:12">
      <c r="A9" s="261" t="s">
        <v>2121</v>
      </c>
      <c r="B9" s="310">
        <f t="shared" si="0"/>
        <v>4</v>
      </c>
      <c r="C9" s="289" t="s">
        <v>159</v>
      </c>
      <c r="D9" s="294" t="e">
        <f>+'CE Min'!#REF!</f>
        <v>#REF!</v>
      </c>
      <c r="E9" s="294" t="e">
        <f>+'CE Min'!#REF!</f>
        <v>#REF!</v>
      </c>
      <c r="F9" s="294" t="e">
        <f>+'CE Min'!#REF!</f>
        <v>#REF!</v>
      </c>
      <c r="G9" s="294" t="e">
        <f>+'CE Min'!#REF!</f>
        <v>#REF!</v>
      </c>
      <c r="H9" s="294" t="e">
        <f>+'CE Min'!#REF!</f>
        <v>#REF!</v>
      </c>
      <c r="I9" s="294" t="e">
        <f>+'CE Min'!#REF!</f>
        <v>#REF!</v>
      </c>
      <c r="J9" s="294" t="e">
        <f>+'CE Min'!#REF!</f>
        <v>#REF!</v>
      </c>
      <c r="K9" s="294" t="e">
        <f>+'CE Min'!#REF!</f>
        <v>#REF!</v>
      </c>
      <c r="L9" s="294" t="e">
        <f>+'CE Min'!#REF!</f>
        <v>#REF!</v>
      </c>
    </row>
    <row r="10" spans="1:12" ht="25.5">
      <c r="A10" s="262" t="s">
        <v>2122</v>
      </c>
      <c r="B10" s="310">
        <f t="shared" si="0"/>
        <v>5</v>
      </c>
      <c r="C10" s="289" t="s">
        <v>207</v>
      </c>
      <c r="D10" s="294" t="e">
        <f>+'CE Min'!#REF!</f>
        <v>#REF!</v>
      </c>
      <c r="E10" s="294" t="e">
        <f>+'CE Min'!#REF!</f>
        <v>#REF!</v>
      </c>
      <c r="F10" s="294" t="e">
        <f>+'CE Min'!#REF!</f>
        <v>#REF!</v>
      </c>
      <c r="G10" s="294" t="e">
        <f>+'CE Min'!#REF!</f>
        <v>#REF!</v>
      </c>
      <c r="H10" s="294" t="e">
        <f>+'CE Min'!#REF!</f>
        <v>#REF!</v>
      </c>
      <c r="I10" s="294" t="e">
        <f>+'CE Min'!#REF!</f>
        <v>#REF!</v>
      </c>
      <c r="J10" s="294" t="e">
        <f>+'CE Min'!#REF!</f>
        <v>#REF!</v>
      </c>
      <c r="K10" s="294" t="e">
        <f>+'CE Min'!#REF!</f>
        <v>#REF!</v>
      </c>
      <c r="L10" s="294" t="e">
        <f>+'CE Min'!#REF!</f>
        <v>#REF!</v>
      </c>
    </row>
    <row r="11" spans="1:12" ht="25.5">
      <c r="A11" s="262" t="s">
        <v>2123</v>
      </c>
      <c r="B11" s="310">
        <f t="shared" si="0"/>
        <v>6</v>
      </c>
      <c r="C11" s="289" t="s">
        <v>2124</v>
      </c>
      <c r="D11" s="294" t="e">
        <f>+'CE Min'!#REF!-'ce art. 44'!D8-'ce art. 44'!D9+'CE Min'!#REF!+'CE Min'!#REF!</f>
        <v>#REF!</v>
      </c>
      <c r="E11" s="294" t="e">
        <f>+'CE Min'!#REF!-'ce art. 44'!E8-'ce art. 44'!E9+'CE Min'!#REF!+'CE Min'!#REF!</f>
        <v>#REF!</v>
      </c>
      <c r="F11" s="294" t="e">
        <f>+'CE Min'!#REF!-'ce art. 44'!F8-'ce art. 44'!F9+'CE Min'!#REF!+'CE Min'!#REF!</f>
        <v>#REF!</v>
      </c>
      <c r="G11" s="294" t="e">
        <f>+'CE Min'!#REF!-'ce art. 44'!G8-'ce art. 44'!G9+'CE Min'!#REF!+'CE Min'!#REF!</f>
        <v>#REF!</v>
      </c>
      <c r="H11" s="294" t="e">
        <f>+'CE Min'!#REF!-'ce art. 44'!H8-'ce art. 44'!H9+'CE Min'!#REF!+'CE Min'!#REF!</f>
        <v>#REF!</v>
      </c>
      <c r="I11" s="294" t="e">
        <f>+'CE Min'!#REF!-'ce art. 44'!I8-'ce art. 44'!I9+'CE Min'!#REF!+'CE Min'!#REF!</f>
        <v>#REF!</v>
      </c>
      <c r="J11" s="294" t="e">
        <f>+'CE Min'!#REF!-'ce art. 44'!J8-'ce art. 44'!J9+'CE Min'!#REF!+'CE Min'!#REF!</f>
        <v>#REF!</v>
      </c>
      <c r="K11" s="294" t="e">
        <f>+'CE Min'!#REF!-'ce art. 44'!K8-'ce art. 44'!K9+'CE Min'!#REF!+'CE Min'!#REF!</f>
        <v>#REF!</v>
      </c>
      <c r="L11" s="294" t="e">
        <f>+'CE Min'!#REF!-'ce art. 44'!L8-'ce art. 44'!L9+'CE Min'!#REF!+'CE Min'!#REF!</f>
        <v>#REF!</v>
      </c>
    </row>
    <row r="12" spans="1:12">
      <c r="A12" s="262" t="s">
        <v>2125</v>
      </c>
      <c r="B12" s="310">
        <f t="shared" si="0"/>
        <v>7</v>
      </c>
      <c r="C12" s="289" t="s">
        <v>423</v>
      </c>
      <c r="D12" s="294" t="e">
        <f>+'CE Min'!#REF!</f>
        <v>#REF!</v>
      </c>
      <c r="E12" s="294" t="e">
        <f>+'CE Min'!#REF!</f>
        <v>#REF!</v>
      </c>
      <c r="F12" s="294" t="e">
        <f>+'CE Min'!#REF!</f>
        <v>#REF!</v>
      </c>
      <c r="G12" s="294" t="e">
        <f>+'CE Min'!#REF!</f>
        <v>#REF!</v>
      </c>
      <c r="H12" s="294" t="e">
        <f>+'CE Min'!#REF!</f>
        <v>#REF!</v>
      </c>
      <c r="I12" s="294" t="e">
        <f>+'CE Min'!#REF!</f>
        <v>#REF!</v>
      </c>
      <c r="J12" s="294" t="e">
        <f>+'CE Min'!#REF!</f>
        <v>#REF!</v>
      </c>
      <c r="K12" s="294" t="e">
        <f>+'CE Min'!#REF!</f>
        <v>#REF!</v>
      </c>
      <c r="L12" s="294" t="e">
        <f>+'CE Min'!#REF!</f>
        <v>#REF!</v>
      </c>
    </row>
    <row r="13" spans="1:12">
      <c r="A13" s="262" t="s">
        <v>2126</v>
      </c>
      <c r="B13" s="310">
        <f t="shared" si="0"/>
        <v>8</v>
      </c>
      <c r="C13" s="290" t="s">
        <v>399</v>
      </c>
      <c r="D13" s="294" t="e">
        <f>+'CE Min'!#REF!</f>
        <v>#REF!</v>
      </c>
      <c r="E13" s="294" t="e">
        <f>+'CE Min'!#REF!</f>
        <v>#REF!</v>
      </c>
      <c r="F13" s="294" t="e">
        <f>+'CE Min'!#REF!</f>
        <v>#REF!</v>
      </c>
      <c r="G13" s="294" t="e">
        <f>+'CE Min'!#REF!</f>
        <v>#REF!</v>
      </c>
      <c r="H13" s="294" t="e">
        <f>+'CE Min'!#REF!</f>
        <v>#REF!</v>
      </c>
      <c r="I13" s="294" t="e">
        <f>+'CE Min'!#REF!</f>
        <v>#REF!</v>
      </c>
      <c r="J13" s="294" t="e">
        <f>+'CE Min'!#REF!</f>
        <v>#REF!</v>
      </c>
      <c r="K13" s="294" t="e">
        <f>+'CE Min'!#REF!</f>
        <v>#REF!</v>
      </c>
      <c r="L13" s="294" t="e">
        <f>+'CE Min'!#REF!</f>
        <v>#REF!</v>
      </c>
    </row>
    <row r="14" spans="1:12" ht="66.599999999999994" customHeight="1">
      <c r="A14" s="262" t="s">
        <v>2127</v>
      </c>
      <c r="B14" s="310">
        <f t="shared" si="0"/>
        <v>9</v>
      </c>
      <c r="C14" s="291" t="s">
        <v>2128</v>
      </c>
      <c r="D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294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63" t="s">
        <v>2129</v>
      </c>
      <c r="B15" s="310">
        <f t="shared" si="0"/>
        <v>10</v>
      </c>
      <c r="C15" s="289" t="s">
        <v>205</v>
      </c>
      <c r="D15" s="294" t="e">
        <f>+'CE Min'!#REF!</f>
        <v>#REF!</v>
      </c>
      <c r="E15" s="294" t="e">
        <f>+'CE Min'!#REF!</f>
        <v>#REF!</v>
      </c>
      <c r="F15" s="294" t="e">
        <f>+'CE Min'!#REF!</f>
        <v>#REF!</v>
      </c>
      <c r="G15" s="294" t="e">
        <f>+'CE Min'!#REF!</f>
        <v>#REF!</v>
      </c>
      <c r="H15" s="294" t="e">
        <f>+'CE Min'!#REF!</f>
        <v>#REF!</v>
      </c>
      <c r="I15" s="294" t="e">
        <f>+'CE Min'!#REF!</f>
        <v>#REF!</v>
      </c>
      <c r="J15" s="294" t="e">
        <f>+'CE Min'!#REF!</f>
        <v>#REF!</v>
      </c>
      <c r="K15" s="294" t="e">
        <f>+'CE Min'!#REF!</f>
        <v>#REF!</v>
      </c>
      <c r="L15" s="294" t="e">
        <f>+'CE Min'!#REF!</f>
        <v>#REF!</v>
      </c>
    </row>
    <row r="16" spans="1:12">
      <c r="A16" s="262" t="s">
        <v>2130</v>
      </c>
      <c r="B16" s="310">
        <f t="shared" si="0"/>
        <v>11</v>
      </c>
      <c r="C16" s="289" t="s">
        <v>2131</v>
      </c>
      <c r="D16" s="294" t="e">
        <f>+'CE Min'!#REF!+'CE Min'!#REF!</f>
        <v>#REF!</v>
      </c>
      <c r="E16" s="294" t="e">
        <f>+'CE Min'!#REF!+'CE Min'!#REF!</f>
        <v>#REF!</v>
      </c>
      <c r="F16" s="294" t="e">
        <f>+'CE Min'!#REF!+'CE Min'!#REF!</f>
        <v>#REF!</v>
      </c>
      <c r="G16" s="294" t="e">
        <f>+'CE Min'!#REF!+'CE Min'!#REF!</f>
        <v>#REF!</v>
      </c>
      <c r="H16" s="294" t="e">
        <f>+'CE Min'!#REF!+'CE Min'!#REF!</f>
        <v>#REF!</v>
      </c>
      <c r="I16" s="294" t="e">
        <f>+'CE Min'!#REF!+'CE Min'!#REF!</f>
        <v>#REF!</v>
      </c>
      <c r="J16" s="294" t="e">
        <f>+'CE Min'!#REF!+'CE Min'!#REF!</f>
        <v>#REF!</v>
      </c>
      <c r="K16" s="294" t="e">
        <f>+'CE Min'!#REF!+'CE Min'!#REF!</f>
        <v>#REF!</v>
      </c>
      <c r="L16" s="294" t="e">
        <f>+'CE Min'!#REF!+'CE Min'!#REF!</f>
        <v>#REF!</v>
      </c>
    </row>
    <row r="17" spans="1:12">
      <c r="A17" s="264" t="s">
        <v>2132</v>
      </c>
      <c r="B17" s="310">
        <f>+B16+1</f>
        <v>12</v>
      </c>
      <c r="C17" s="291" t="s">
        <v>222</v>
      </c>
      <c r="D17" s="294" t="e">
        <f>+'CE Min'!#REF!</f>
        <v>#REF!</v>
      </c>
      <c r="E17" s="294" t="e">
        <f>+'CE Min'!#REF!</f>
        <v>#REF!</v>
      </c>
      <c r="F17" s="294" t="e">
        <f>+'CE Min'!#REF!</f>
        <v>#REF!</v>
      </c>
      <c r="G17" s="294" t="e">
        <f>+'CE Min'!#REF!</f>
        <v>#REF!</v>
      </c>
      <c r="H17" s="294" t="e">
        <f>+'CE Min'!#REF!</f>
        <v>#REF!</v>
      </c>
      <c r="I17" s="294" t="e">
        <f>+'CE Min'!#REF!</f>
        <v>#REF!</v>
      </c>
      <c r="J17" s="294" t="e">
        <f>+'CE Min'!#REF!</f>
        <v>#REF!</v>
      </c>
      <c r="K17" s="294" t="e">
        <f>+'CE Min'!#REF!</f>
        <v>#REF!</v>
      </c>
      <c r="L17" s="294" t="e">
        <f>+'CE Min'!#REF!</f>
        <v>#REF!</v>
      </c>
    </row>
    <row r="18" spans="1:12" ht="65.650000000000006" customHeight="1">
      <c r="A18" s="265" t="s">
        <v>2133</v>
      </c>
      <c r="B18" s="311">
        <f t="shared" si="0"/>
        <v>13</v>
      </c>
      <c r="C18" s="292" t="s">
        <v>2134</v>
      </c>
      <c r="D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29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66" t="s">
        <v>2135</v>
      </c>
      <c r="B19" s="312" t="s">
        <v>2136</v>
      </c>
      <c r="C19" s="293"/>
      <c r="D19" s="294" t="e">
        <f>D6+D7+D8+D9+D10+D11+D12+D13+D14+D15+D16+D17+D18</f>
        <v>#REF!</v>
      </c>
      <c r="E19" s="294" t="e">
        <f t="shared" ref="E19:L19" si="1">E6+E7+E8+E9+E10+E11+E12+E13+E14+E15+E16+E17+E18</f>
        <v>#REF!</v>
      </c>
      <c r="F19" s="294" t="e">
        <f t="shared" si="1"/>
        <v>#REF!</v>
      </c>
      <c r="G19" s="294" t="e">
        <f t="shared" si="1"/>
        <v>#REF!</v>
      </c>
      <c r="H19" s="294" t="e">
        <f t="shared" si="1"/>
        <v>#REF!</v>
      </c>
      <c r="I19" s="294" t="e">
        <f t="shared" si="1"/>
        <v>#REF!</v>
      </c>
      <c r="J19" s="294" t="e">
        <f t="shared" si="1"/>
        <v>#REF!</v>
      </c>
      <c r="K19" s="294" t="e">
        <f t="shared" si="1"/>
        <v>#REF!</v>
      </c>
      <c r="L19" s="294" t="e">
        <f t="shared" si="1"/>
        <v>#REF!</v>
      </c>
    </row>
    <row r="20" spans="1:12" ht="13.5" thickTop="1">
      <c r="A20" s="267"/>
      <c r="B20" s="313"/>
      <c r="C20" s="268"/>
    </row>
    <row r="21" spans="1:12" ht="13.5" thickBot="1">
      <c r="A21" s="269"/>
      <c r="B21" s="314"/>
      <c r="C21" s="270"/>
    </row>
    <row r="22" spans="1:12" ht="23.65" customHeight="1" thickTop="1">
      <c r="A22" s="987" t="s">
        <v>2137</v>
      </c>
      <c r="B22" s="306"/>
      <c r="C22" s="993" t="s">
        <v>2114</v>
      </c>
      <c r="D22" s="986" t="s">
        <v>2105</v>
      </c>
      <c r="E22" s="986" t="s">
        <v>2106</v>
      </c>
      <c r="F22" s="989" t="s">
        <v>2107</v>
      </c>
      <c r="G22" s="989"/>
      <c r="H22" s="986" t="s">
        <v>2101</v>
      </c>
      <c r="I22" s="986" t="s">
        <v>2102</v>
      </c>
      <c r="J22" s="986" t="s">
        <v>2103</v>
      </c>
      <c r="K22" s="986" t="s">
        <v>2098</v>
      </c>
      <c r="L22" s="986" t="s">
        <v>2099</v>
      </c>
    </row>
    <row r="23" spans="1:12" ht="28.9" customHeight="1">
      <c r="A23" s="988"/>
      <c r="B23" s="307"/>
      <c r="C23" s="994"/>
      <c r="D23" s="986"/>
      <c r="E23" s="986"/>
      <c r="F23" s="986" t="s">
        <v>2108</v>
      </c>
      <c r="G23" s="986" t="s">
        <v>2109</v>
      </c>
      <c r="H23" s="986"/>
      <c r="I23" s="986"/>
      <c r="J23" s="986"/>
      <c r="K23" s="986"/>
      <c r="L23" s="986"/>
    </row>
    <row r="24" spans="1:12" ht="28.15" customHeight="1">
      <c r="A24" s="259" t="s">
        <v>2115</v>
      </c>
      <c r="B24" s="315"/>
      <c r="C24" s="995"/>
      <c r="D24" s="986"/>
      <c r="E24" s="986"/>
      <c r="F24" s="986"/>
      <c r="G24" s="986"/>
      <c r="H24" s="986"/>
      <c r="I24" s="986"/>
      <c r="J24" s="986"/>
      <c r="K24" s="986"/>
      <c r="L24" s="986"/>
    </row>
    <row r="25" spans="1:12" ht="22.5">
      <c r="A25" s="271" t="s">
        <v>2138</v>
      </c>
      <c r="B25" s="316" t="s">
        <v>2139</v>
      </c>
      <c r="C25" s="295"/>
      <c r="D25" s="294" t="e">
        <f>+D26+D27+D28+D29+D30</f>
        <v>#REF!</v>
      </c>
      <c r="E25" s="294" t="e">
        <f t="shared" ref="E25:L25" si="2">+E26+E27+E28+E29+E30</f>
        <v>#REF!</v>
      </c>
      <c r="F25" s="294" t="e">
        <f t="shared" si="2"/>
        <v>#REF!</v>
      </c>
      <c r="G25" s="294" t="e">
        <f t="shared" si="2"/>
        <v>#REF!</v>
      </c>
      <c r="H25" s="294" t="e">
        <f t="shared" si="2"/>
        <v>#REF!</v>
      </c>
      <c r="I25" s="294" t="e">
        <f t="shared" si="2"/>
        <v>#REF!</v>
      </c>
      <c r="J25" s="294" t="e">
        <f t="shared" si="2"/>
        <v>#REF!</v>
      </c>
      <c r="K25" s="294" t="e">
        <f t="shared" si="2"/>
        <v>#REF!</v>
      </c>
      <c r="L25" s="294" t="e">
        <f t="shared" si="2"/>
        <v>#REF!</v>
      </c>
    </row>
    <row r="26" spans="1:12">
      <c r="A26" s="272" t="s">
        <v>2140</v>
      </c>
      <c r="B26" s="273" t="s">
        <v>2141</v>
      </c>
      <c r="C26" s="296" t="s">
        <v>1101</v>
      </c>
      <c r="D26" s="294" t="e">
        <f>+'CE Min'!#REF!</f>
        <v>#REF!</v>
      </c>
      <c r="E26" s="294" t="e">
        <f>+'CE Min'!#REF!</f>
        <v>#REF!</v>
      </c>
      <c r="F26" s="294" t="e">
        <f>+'CE Min'!#REF!</f>
        <v>#REF!</v>
      </c>
      <c r="G26" s="294" t="e">
        <f>+'CE Min'!#REF!</f>
        <v>#REF!</v>
      </c>
      <c r="H26" s="294" t="e">
        <f>+'CE Min'!#REF!</f>
        <v>#REF!</v>
      </c>
      <c r="I26" s="294" t="e">
        <f>+'CE Min'!#REF!</f>
        <v>#REF!</v>
      </c>
      <c r="J26" s="294" t="e">
        <f>+'CE Min'!#REF!</f>
        <v>#REF!</v>
      </c>
      <c r="K26" s="294" t="e">
        <f>+'CE Min'!#REF!</f>
        <v>#REF!</v>
      </c>
      <c r="L26" s="294" t="e">
        <f>+'CE Min'!#REF!</f>
        <v>#REF!</v>
      </c>
    </row>
    <row r="27" spans="1:12">
      <c r="A27" s="272" t="s">
        <v>2142</v>
      </c>
      <c r="B27" s="273" t="s">
        <v>2143</v>
      </c>
      <c r="C27" s="296" t="s">
        <v>1153</v>
      </c>
      <c r="D27" s="294" t="e">
        <f>+'CE Min'!#REF!</f>
        <v>#REF!</v>
      </c>
      <c r="E27" s="294" t="e">
        <f>+'CE Min'!#REF!</f>
        <v>#REF!</v>
      </c>
      <c r="F27" s="294" t="e">
        <f>+'CE Min'!#REF!</f>
        <v>#REF!</v>
      </c>
      <c r="G27" s="294" t="e">
        <f>+'CE Min'!#REF!</f>
        <v>#REF!</v>
      </c>
      <c r="H27" s="294" t="e">
        <f>+'CE Min'!#REF!</f>
        <v>#REF!</v>
      </c>
      <c r="I27" s="294" t="e">
        <f>+'CE Min'!#REF!</f>
        <v>#REF!</v>
      </c>
      <c r="J27" s="294" t="e">
        <f>+'CE Min'!#REF!</f>
        <v>#REF!</v>
      </c>
      <c r="K27" s="294" t="e">
        <f>+'CE Min'!#REF!</f>
        <v>#REF!</v>
      </c>
      <c r="L27" s="294" t="e">
        <f>+'CE Min'!#REF!</f>
        <v>#REF!</v>
      </c>
    </row>
    <row r="28" spans="1:12">
      <c r="A28" s="272" t="s">
        <v>2144</v>
      </c>
      <c r="B28" s="273" t="s">
        <v>2145</v>
      </c>
      <c r="C28" s="296" t="s">
        <v>1172</v>
      </c>
      <c r="D28" s="294" t="e">
        <f>+'CE Min'!#REF!</f>
        <v>#REF!</v>
      </c>
      <c r="E28" s="294" t="e">
        <f>+'CE Min'!#REF!</f>
        <v>#REF!</v>
      </c>
      <c r="F28" s="294" t="e">
        <f>+'CE Min'!#REF!</f>
        <v>#REF!</v>
      </c>
      <c r="G28" s="294" t="e">
        <f>+'CE Min'!#REF!</f>
        <v>#REF!</v>
      </c>
      <c r="H28" s="294" t="e">
        <f>+'CE Min'!#REF!</f>
        <v>#REF!</v>
      </c>
      <c r="I28" s="294" t="e">
        <f>+'CE Min'!#REF!</f>
        <v>#REF!</v>
      </c>
      <c r="J28" s="294" t="e">
        <f>+'CE Min'!#REF!</f>
        <v>#REF!</v>
      </c>
      <c r="K28" s="294" t="e">
        <f>+'CE Min'!#REF!</f>
        <v>#REF!</v>
      </c>
      <c r="L28" s="294" t="e">
        <f>+'CE Min'!#REF!</f>
        <v>#REF!</v>
      </c>
    </row>
    <row r="29" spans="1:12">
      <c r="A29" s="272" t="s">
        <v>2146</v>
      </c>
      <c r="B29" s="273" t="s">
        <v>2147</v>
      </c>
      <c r="C29" s="296" t="s">
        <v>1191</v>
      </c>
      <c r="D29" s="294" t="e">
        <f>+'CE Min'!#REF!</f>
        <v>#REF!</v>
      </c>
      <c r="E29" s="294" t="e">
        <f>+'CE Min'!#REF!</f>
        <v>#REF!</v>
      </c>
      <c r="F29" s="294" t="e">
        <f>+'CE Min'!#REF!</f>
        <v>#REF!</v>
      </c>
      <c r="G29" s="294" t="e">
        <f>+'CE Min'!#REF!</f>
        <v>#REF!</v>
      </c>
      <c r="H29" s="294" t="e">
        <f>+'CE Min'!#REF!</f>
        <v>#REF!</v>
      </c>
      <c r="I29" s="294" t="e">
        <f>+'CE Min'!#REF!</f>
        <v>#REF!</v>
      </c>
      <c r="J29" s="294" t="e">
        <f>+'CE Min'!#REF!</f>
        <v>#REF!</v>
      </c>
      <c r="K29" s="294" t="e">
        <f>+'CE Min'!#REF!</f>
        <v>#REF!</v>
      </c>
      <c r="L29" s="294" t="e">
        <f>+'CE Min'!#REF!</f>
        <v>#REF!</v>
      </c>
    </row>
    <row r="30" spans="1:12">
      <c r="A30" s="274" t="s">
        <v>2148</v>
      </c>
      <c r="B30" s="273" t="s">
        <v>2149</v>
      </c>
      <c r="C30" s="296" t="s">
        <v>2150</v>
      </c>
      <c r="D30" s="294" t="e">
        <f>+'CE Min'!#REF!+'CE Min'!#REF!</f>
        <v>#REF!</v>
      </c>
      <c r="E30" s="294" t="e">
        <f>+'CE Min'!#REF!+'CE Min'!#REF!</f>
        <v>#REF!</v>
      </c>
      <c r="F30" s="294" t="e">
        <f>+'CE Min'!#REF!+'CE Min'!#REF!</f>
        <v>#REF!</v>
      </c>
      <c r="G30" s="294" t="e">
        <f>+'CE Min'!#REF!+'CE Min'!#REF!</f>
        <v>#REF!</v>
      </c>
      <c r="H30" s="294" t="e">
        <f>+'CE Min'!#REF!+'CE Min'!#REF!</f>
        <v>#REF!</v>
      </c>
      <c r="I30" s="294" t="e">
        <f>+'CE Min'!#REF!+'CE Min'!#REF!</f>
        <v>#REF!</v>
      </c>
      <c r="J30" s="294" t="e">
        <f>+'CE Min'!#REF!+'CE Min'!#REF!</f>
        <v>#REF!</v>
      </c>
      <c r="K30" s="294" t="e">
        <f>+'CE Min'!#REF!+'CE Min'!#REF!</f>
        <v>#REF!</v>
      </c>
      <c r="L30" s="294" t="e">
        <f>+'CE Min'!#REF!+'CE Min'!#REF!</f>
        <v>#REF!</v>
      </c>
    </row>
    <row r="31" spans="1:12">
      <c r="A31" s="275" t="s">
        <v>2151</v>
      </c>
      <c r="B31" s="317">
        <v>16</v>
      </c>
      <c r="C31" s="297" t="s">
        <v>1486</v>
      </c>
      <c r="D31" s="294" t="e">
        <f>+'CE Min'!#REF!</f>
        <v>#REF!</v>
      </c>
      <c r="E31" s="294" t="e">
        <f>+'CE Min'!#REF!</f>
        <v>#REF!</v>
      </c>
      <c r="F31" s="294" t="e">
        <f>+'CE Min'!#REF!</f>
        <v>#REF!</v>
      </c>
      <c r="G31" s="294" t="e">
        <f>+'CE Min'!#REF!</f>
        <v>#REF!</v>
      </c>
      <c r="H31" s="294" t="e">
        <f>+'CE Min'!#REF!</f>
        <v>#REF!</v>
      </c>
      <c r="I31" s="294" t="e">
        <f>+'CE Min'!#REF!</f>
        <v>#REF!</v>
      </c>
      <c r="J31" s="294" t="e">
        <f>+'CE Min'!#REF!</f>
        <v>#REF!</v>
      </c>
      <c r="K31" s="294" t="e">
        <f>+'CE Min'!#REF!</f>
        <v>#REF!</v>
      </c>
      <c r="L31" s="294" t="e">
        <f>+'CE Min'!#REF!</f>
        <v>#REF!</v>
      </c>
    </row>
    <row r="32" spans="1:12">
      <c r="A32" s="275" t="s">
        <v>2152</v>
      </c>
      <c r="B32" s="317" t="s">
        <v>2153</v>
      </c>
      <c r="C32" s="298"/>
      <c r="D32" s="294" t="e">
        <f>+D33+D34</f>
        <v>#REF!</v>
      </c>
      <c r="E32" s="294" t="e">
        <f t="shared" ref="E32:L32" si="3">+E33+E34</f>
        <v>#REF!</v>
      </c>
      <c r="F32" s="294" t="e">
        <f t="shared" si="3"/>
        <v>#REF!</v>
      </c>
      <c r="G32" s="294" t="e">
        <f t="shared" si="3"/>
        <v>#REF!</v>
      </c>
      <c r="H32" s="294" t="e">
        <f t="shared" si="3"/>
        <v>#REF!</v>
      </c>
      <c r="I32" s="294" t="e">
        <f t="shared" si="3"/>
        <v>#REF!</v>
      </c>
      <c r="J32" s="294" t="e">
        <f t="shared" si="3"/>
        <v>#REF!</v>
      </c>
      <c r="K32" s="294" t="e">
        <f t="shared" si="3"/>
        <v>#REF!</v>
      </c>
      <c r="L32" s="294" t="e">
        <f t="shared" si="3"/>
        <v>#REF!</v>
      </c>
    </row>
    <row r="33" spans="1:12" ht="30" customHeight="1">
      <c r="A33" s="276" t="s">
        <v>2154</v>
      </c>
      <c r="B33" s="277" t="s">
        <v>2155</v>
      </c>
      <c r="C33" s="296" t="s">
        <v>2156</v>
      </c>
      <c r="D33" s="294" t="e">
        <f>+'CE Min'!#REF!-'CE Min'!#REF!-'CE Min'!#REF!-'CE Min'!#REF!-'CE Min'!#REF!</f>
        <v>#REF!</v>
      </c>
      <c r="E33" s="294" t="e">
        <f>+'CE Min'!#REF!-'CE Min'!#REF!-'CE Min'!#REF!-'CE Min'!#REF!-'CE Min'!#REF!</f>
        <v>#REF!</v>
      </c>
      <c r="F33" s="294" t="e">
        <f>+'CE Min'!#REF!-'CE Min'!#REF!-'CE Min'!#REF!-'CE Min'!#REF!-'CE Min'!#REF!</f>
        <v>#REF!</v>
      </c>
      <c r="G33" s="294" t="e">
        <f>+'CE Min'!#REF!-'CE Min'!#REF!-'CE Min'!#REF!-'CE Min'!#REF!-'CE Min'!#REF!</f>
        <v>#REF!</v>
      </c>
      <c r="H33" s="294" t="e">
        <f>+'CE Min'!#REF!-'CE Min'!#REF!-'CE Min'!#REF!-'CE Min'!#REF!-'CE Min'!#REF!</f>
        <v>#REF!</v>
      </c>
      <c r="I33" s="294" t="e">
        <f>+'CE Min'!#REF!-'CE Min'!#REF!-'CE Min'!#REF!-'CE Min'!#REF!-'CE Min'!#REF!</f>
        <v>#REF!</v>
      </c>
      <c r="J33" s="294" t="e">
        <f>+'CE Min'!#REF!-'CE Min'!#REF!-'CE Min'!#REF!-'CE Min'!#REF!-'CE Min'!#REF!</f>
        <v>#REF!</v>
      </c>
      <c r="K33" s="294" t="e">
        <f>+'CE Min'!#REF!-'CE Min'!#REF!-'CE Min'!#REF!-'CE Min'!#REF!-'CE Min'!#REF!</f>
        <v>#REF!</v>
      </c>
      <c r="L33" s="294" t="e">
        <f>+'CE Min'!#REF!-'CE Min'!#REF!-'CE Min'!#REF!-'CE Min'!#REF!-'CE Min'!#REF!</f>
        <v>#REF!</v>
      </c>
    </row>
    <row r="34" spans="1:12">
      <c r="A34" s="276" t="s">
        <v>2157</v>
      </c>
      <c r="B34" s="277" t="s">
        <v>2158</v>
      </c>
      <c r="C34" s="297" t="s">
        <v>594</v>
      </c>
      <c r="D34" s="294" t="e">
        <f>+'CE Min'!#REF!</f>
        <v>#REF!</v>
      </c>
      <c r="E34" s="294" t="e">
        <f>+'CE Min'!#REF!</f>
        <v>#REF!</v>
      </c>
      <c r="F34" s="294" t="e">
        <f>+'CE Min'!#REF!</f>
        <v>#REF!</v>
      </c>
      <c r="G34" s="294" t="e">
        <f>+'CE Min'!#REF!</f>
        <v>#REF!</v>
      </c>
      <c r="H34" s="294" t="e">
        <f>+'CE Min'!#REF!</f>
        <v>#REF!</v>
      </c>
      <c r="I34" s="294" t="e">
        <f>+'CE Min'!#REF!</f>
        <v>#REF!</v>
      </c>
      <c r="J34" s="294" t="e">
        <f>+'CE Min'!#REF!</f>
        <v>#REF!</v>
      </c>
      <c r="K34" s="294" t="e">
        <f>+'CE Min'!#REF!</f>
        <v>#REF!</v>
      </c>
      <c r="L34" s="294" t="e">
        <f>+'CE Min'!#REF!</f>
        <v>#REF!</v>
      </c>
    </row>
    <row r="35" spans="1:12">
      <c r="A35" s="275" t="s">
        <v>2159</v>
      </c>
      <c r="B35" s="317" t="s">
        <v>2160</v>
      </c>
      <c r="C35" s="298"/>
      <c r="D35" s="294" t="e">
        <f>+D36+D37</f>
        <v>#REF!</v>
      </c>
      <c r="E35" s="294" t="e">
        <f t="shared" ref="E35:L35" si="4">+E36+E37</f>
        <v>#REF!</v>
      </c>
      <c r="F35" s="294" t="e">
        <f t="shared" si="4"/>
        <v>#REF!</v>
      </c>
      <c r="G35" s="294" t="e">
        <f t="shared" si="4"/>
        <v>#REF!</v>
      </c>
      <c r="H35" s="294" t="e">
        <f t="shared" si="4"/>
        <v>#REF!</v>
      </c>
      <c r="I35" s="294" t="e">
        <f t="shared" si="4"/>
        <v>#REF!</v>
      </c>
      <c r="J35" s="294" t="e">
        <f t="shared" si="4"/>
        <v>#REF!</v>
      </c>
      <c r="K35" s="294" t="e">
        <f t="shared" si="4"/>
        <v>#REF!</v>
      </c>
      <c r="L35" s="294" t="e">
        <f t="shared" si="4"/>
        <v>#REF!</v>
      </c>
    </row>
    <row r="36" spans="1:12">
      <c r="A36" s="276" t="s">
        <v>2161</v>
      </c>
      <c r="B36" s="277" t="s">
        <v>2162</v>
      </c>
      <c r="C36" s="297" t="s">
        <v>2163</v>
      </c>
      <c r="D36" s="294" t="e">
        <f>+'CE Min'!#REF!+'CE Min'!#REF!-'CE Min'!#REF!+'CE Min'!#REF!</f>
        <v>#REF!</v>
      </c>
      <c r="E36" s="294" t="e">
        <f>+'CE Min'!#REF!+'CE Min'!#REF!-'CE Min'!#REF!+'CE Min'!#REF!</f>
        <v>#REF!</v>
      </c>
      <c r="F36" s="294" t="e">
        <f>+'CE Min'!#REF!+'CE Min'!#REF!-'CE Min'!#REF!+'CE Min'!#REF!</f>
        <v>#REF!</v>
      </c>
      <c r="G36" s="294" t="e">
        <f>+'CE Min'!#REF!+'CE Min'!#REF!-'CE Min'!#REF!+'CE Min'!#REF!</f>
        <v>#REF!</v>
      </c>
      <c r="H36" s="294" t="e">
        <f>+'CE Min'!#REF!+'CE Min'!#REF!-'CE Min'!#REF!+'CE Min'!#REF!</f>
        <v>#REF!</v>
      </c>
      <c r="I36" s="294" t="e">
        <f>+'CE Min'!#REF!+'CE Min'!#REF!-'CE Min'!#REF!+'CE Min'!#REF!</f>
        <v>#REF!</v>
      </c>
      <c r="J36" s="294" t="e">
        <f>+'CE Min'!#REF!+'CE Min'!#REF!-'CE Min'!#REF!+'CE Min'!#REF!</f>
        <v>#REF!</v>
      </c>
      <c r="K36" s="294" t="e">
        <f>+'CE Min'!#REF!+'CE Min'!#REF!-'CE Min'!#REF!+'CE Min'!#REF!</f>
        <v>#REF!</v>
      </c>
      <c r="L36" s="294" t="e">
        <f>+'CE Min'!#REF!+'CE Min'!#REF!-'CE Min'!#REF!+'CE Min'!#REF!</f>
        <v>#REF!</v>
      </c>
    </row>
    <row r="37" spans="1:12" ht="33.6" customHeight="1">
      <c r="A37" s="276" t="s">
        <v>2164</v>
      </c>
      <c r="B37" s="277" t="s">
        <v>2165</v>
      </c>
      <c r="C37" s="296" t="s">
        <v>2166</v>
      </c>
      <c r="D37" s="294" t="e">
        <f>+'CE Min'!#REF!+'CE Min'!#REF!+'CE Min'!#REF!+'CE Min'!#REF!+'CE Min'!#REF!-'CE Min'!#REF!+'CE Min'!#REF!</f>
        <v>#REF!</v>
      </c>
      <c r="E37" s="294" t="e">
        <f>+'CE Min'!#REF!+'CE Min'!#REF!+'CE Min'!#REF!+'CE Min'!#REF!+'CE Min'!#REF!-'CE Min'!#REF!+'CE Min'!#REF!</f>
        <v>#REF!</v>
      </c>
      <c r="F37" s="294" t="e">
        <f>+'CE Min'!#REF!+'CE Min'!#REF!+'CE Min'!#REF!+'CE Min'!#REF!+'CE Min'!#REF!-'CE Min'!#REF!+'CE Min'!#REF!</f>
        <v>#REF!</v>
      </c>
      <c r="G37" s="294" t="e">
        <f>+'CE Min'!#REF!+'CE Min'!#REF!+'CE Min'!#REF!+'CE Min'!#REF!+'CE Min'!#REF!-'CE Min'!#REF!+'CE Min'!#REF!</f>
        <v>#REF!</v>
      </c>
      <c r="H37" s="294" t="e">
        <f>+'CE Min'!#REF!+'CE Min'!#REF!+'CE Min'!#REF!+'CE Min'!#REF!+'CE Min'!#REF!-'CE Min'!#REF!+'CE Min'!#REF!</f>
        <v>#REF!</v>
      </c>
      <c r="I37" s="294" t="e">
        <f>+'CE Min'!#REF!+'CE Min'!#REF!+'CE Min'!#REF!+'CE Min'!#REF!+'CE Min'!#REF!-'CE Min'!#REF!+'CE Min'!#REF!</f>
        <v>#REF!</v>
      </c>
      <c r="J37" s="294" t="e">
        <f>+'CE Min'!#REF!+'CE Min'!#REF!+'CE Min'!#REF!+'CE Min'!#REF!+'CE Min'!#REF!-'CE Min'!#REF!+'CE Min'!#REF!</f>
        <v>#REF!</v>
      </c>
      <c r="K37" s="294" t="e">
        <f>+'CE Min'!#REF!+'CE Min'!#REF!+'CE Min'!#REF!+'CE Min'!#REF!+'CE Min'!#REF!-'CE Min'!#REF!+'CE Min'!#REF!</f>
        <v>#REF!</v>
      </c>
      <c r="L37" s="294" t="e">
        <f>+'CE Min'!#REF!+'CE Min'!#REF!+'CE Min'!#REF!+'CE Min'!#REF!+'CE Min'!#REF!-'CE Min'!#REF!+'CE Min'!#REF!</f>
        <v>#REF!</v>
      </c>
    </row>
    <row r="38" spans="1:12" ht="22.5">
      <c r="A38" s="278" t="s">
        <v>2167</v>
      </c>
      <c r="B38" s="318" t="s">
        <v>2168</v>
      </c>
      <c r="C38" s="298"/>
      <c r="D38" s="294" t="e">
        <f>+D39+D40+D41+D42+D43+D44+D45</f>
        <v>#REF!</v>
      </c>
      <c r="E38" s="294" t="e">
        <f t="shared" ref="E38:L38" si="5">+E39+E40+E41+E42+E43+E44+E45</f>
        <v>#REF!</v>
      </c>
      <c r="F38" s="294" t="e">
        <f t="shared" si="5"/>
        <v>#REF!</v>
      </c>
      <c r="G38" s="294" t="e">
        <f t="shared" si="5"/>
        <v>#REF!</v>
      </c>
      <c r="H38" s="294" t="e">
        <f t="shared" si="5"/>
        <v>#REF!</v>
      </c>
      <c r="I38" s="294" t="e">
        <f t="shared" si="5"/>
        <v>#REF!</v>
      </c>
      <c r="J38" s="294" t="e">
        <f t="shared" si="5"/>
        <v>#REF!</v>
      </c>
      <c r="K38" s="294" t="e">
        <f t="shared" si="5"/>
        <v>#REF!</v>
      </c>
      <c r="L38" s="294" t="e">
        <f t="shared" si="5"/>
        <v>#REF!</v>
      </c>
    </row>
    <row r="39" spans="1:12">
      <c r="A39" s="279" t="s">
        <v>2169</v>
      </c>
      <c r="B39" s="277" t="s">
        <v>2170</v>
      </c>
      <c r="C39" s="297" t="s">
        <v>622</v>
      </c>
      <c r="D39" s="294" t="e">
        <f>+'CE Min'!#REF!</f>
        <v>#REF!</v>
      </c>
      <c r="E39" s="294" t="e">
        <f>+'CE Min'!#REF!</f>
        <v>#REF!</v>
      </c>
      <c r="F39" s="294" t="e">
        <f>+'CE Min'!#REF!</f>
        <v>#REF!</v>
      </c>
      <c r="G39" s="294" t="e">
        <f>+'CE Min'!#REF!</f>
        <v>#REF!</v>
      </c>
      <c r="H39" s="294" t="e">
        <f>+'CE Min'!#REF!</f>
        <v>#REF!</v>
      </c>
      <c r="I39" s="294" t="e">
        <f>+'CE Min'!#REF!</f>
        <v>#REF!</v>
      </c>
      <c r="J39" s="294" t="e">
        <f>+'CE Min'!#REF!</f>
        <v>#REF!</v>
      </c>
      <c r="K39" s="294" t="e">
        <f>+'CE Min'!#REF!</f>
        <v>#REF!</v>
      </c>
      <c r="L39" s="294" t="e">
        <f>+'CE Min'!#REF!</f>
        <v>#REF!</v>
      </c>
    </row>
    <row r="40" spans="1:12">
      <c r="A40" s="279" t="s">
        <v>2171</v>
      </c>
      <c r="B40" s="277" t="s">
        <v>2172</v>
      </c>
      <c r="C40" s="297" t="s">
        <v>2173</v>
      </c>
      <c r="D40" s="294" t="e">
        <f>+'CE Min'!#REF!</f>
        <v>#REF!</v>
      </c>
      <c r="E40" s="294" t="e">
        <f>+'CE Min'!#REF!</f>
        <v>#REF!</v>
      </c>
      <c r="F40" s="294" t="e">
        <f>+'CE Min'!#REF!</f>
        <v>#REF!</v>
      </c>
      <c r="G40" s="294" t="e">
        <f>+'CE Min'!#REF!</f>
        <v>#REF!</v>
      </c>
      <c r="H40" s="294" t="e">
        <f>+'CE Min'!#REF!</f>
        <v>#REF!</v>
      </c>
      <c r="I40" s="294" t="e">
        <f>+'CE Min'!#REF!</f>
        <v>#REF!</v>
      </c>
      <c r="J40" s="294" t="e">
        <f>+'CE Min'!#REF!</f>
        <v>#REF!</v>
      </c>
      <c r="K40" s="294" t="e">
        <f>+'CE Min'!#REF!</f>
        <v>#REF!</v>
      </c>
      <c r="L40" s="294" t="e">
        <f>+'CE Min'!#REF!</f>
        <v>#REF!</v>
      </c>
    </row>
    <row r="41" spans="1:12">
      <c r="A41" s="280" t="s">
        <v>2174</v>
      </c>
      <c r="B41" s="277" t="s">
        <v>2175</v>
      </c>
      <c r="C41" s="297" t="s">
        <v>2176</v>
      </c>
      <c r="D41" s="294" t="e">
        <f>+'CE Min'!#REF!</f>
        <v>#REF!</v>
      </c>
      <c r="E41" s="294" t="e">
        <f>+'CE Min'!#REF!</f>
        <v>#REF!</v>
      </c>
      <c r="F41" s="294" t="e">
        <f>+'CE Min'!#REF!</f>
        <v>#REF!</v>
      </c>
      <c r="G41" s="294" t="e">
        <f>+'CE Min'!#REF!</f>
        <v>#REF!</v>
      </c>
      <c r="H41" s="294" t="e">
        <f>+'CE Min'!#REF!</f>
        <v>#REF!</v>
      </c>
      <c r="I41" s="294" t="e">
        <f>+'CE Min'!#REF!</f>
        <v>#REF!</v>
      </c>
      <c r="J41" s="294" t="e">
        <f>+'CE Min'!#REF!</f>
        <v>#REF!</v>
      </c>
      <c r="K41" s="294" t="e">
        <f>+'CE Min'!#REF!</f>
        <v>#REF!</v>
      </c>
      <c r="L41" s="294" t="e">
        <f>+'CE Min'!#REF!</f>
        <v>#REF!</v>
      </c>
    </row>
    <row r="42" spans="1:12">
      <c r="A42" s="279" t="s">
        <v>2177</v>
      </c>
      <c r="B42" s="277" t="s">
        <v>2178</v>
      </c>
      <c r="C42" s="297" t="s">
        <v>2179</v>
      </c>
      <c r="D42" s="294" t="e">
        <f>+'CE Min'!#REF!+'CE Min'!#REF!</f>
        <v>#REF!</v>
      </c>
      <c r="E42" s="294" t="e">
        <f>+'CE Min'!#REF!+'CE Min'!#REF!</f>
        <v>#REF!</v>
      </c>
      <c r="F42" s="294" t="e">
        <f>+'CE Min'!#REF!+'CE Min'!#REF!</f>
        <v>#REF!</v>
      </c>
      <c r="G42" s="294" t="e">
        <f>+'CE Min'!#REF!+'CE Min'!#REF!</f>
        <v>#REF!</v>
      </c>
      <c r="H42" s="294" t="e">
        <f>+'CE Min'!#REF!+'CE Min'!#REF!</f>
        <v>#REF!</v>
      </c>
      <c r="I42" s="294" t="e">
        <f>+'CE Min'!#REF!+'CE Min'!#REF!</f>
        <v>#REF!</v>
      </c>
      <c r="J42" s="294" t="e">
        <f>+'CE Min'!#REF!+'CE Min'!#REF!</f>
        <v>#REF!</v>
      </c>
      <c r="K42" s="294" t="e">
        <f>+'CE Min'!#REF!+'CE Min'!#REF!</f>
        <v>#REF!</v>
      </c>
      <c r="L42" s="294" t="e">
        <f>+'CE Min'!#REF!+'CE Min'!#REF!</f>
        <v>#REF!</v>
      </c>
    </row>
    <row r="43" spans="1:12">
      <c r="A43" s="279" t="s">
        <v>2180</v>
      </c>
      <c r="B43" s="277" t="s">
        <v>2181</v>
      </c>
      <c r="C43" s="297" t="s">
        <v>2182</v>
      </c>
      <c r="D43" s="294" t="e">
        <f>+'CE Min'!#REF!+'CE Min'!#REF!</f>
        <v>#REF!</v>
      </c>
      <c r="E43" s="294" t="e">
        <f>+'CE Min'!#REF!+'CE Min'!#REF!</f>
        <v>#REF!</v>
      </c>
      <c r="F43" s="294" t="e">
        <f>+'CE Min'!#REF!+'CE Min'!#REF!</f>
        <v>#REF!</v>
      </c>
      <c r="G43" s="294" t="e">
        <f>+'CE Min'!#REF!+'CE Min'!#REF!</f>
        <v>#REF!</v>
      </c>
      <c r="H43" s="294" t="e">
        <f>+'CE Min'!#REF!+'CE Min'!#REF!</f>
        <v>#REF!</v>
      </c>
      <c r="I43" s="294" t="e">
        <f>+'CE Min'!#REF!+'CE Min'!#REF!</f>
        <v>#REF!</v>
      </c>
      <c r="J43" s="294" t="e">
        <f>+'CE Min'!#REF!+'CE Min'!#REF!</f>
        <v>#REF!</v>
      </c>
      <c r="K43" s="294" t="e">
        <f>+'CE Min'!#REF!+'CE Min'!#REF!</f>
        <v>#REF!</v>
      </c>
      <c r="L43" s="294" t="e">
        <f>+'CE Min'!#REF!+'CE Min'!#REF!</f>
        <v>#REF!</v>
      </c>
    </row>
    <row r="44" spans="1:12">
      <c r="A44" s="279" t="s">
        <v>2183</v>
      </c>
      <c r="B44" s="277" t="s">
        <v>2184</v>
      </c>
      <c r="C44" s="297" t="s">
        <v>2185</v>
      </c>
      <c r="D44" s="294" t="e">
        <f>+'CE Min'!#REF!+'CE Min'!#REF!</f>
        <v>#REF!</v>
      </c>
      <c r="E44" s="294" t="e">
        <f>+'CE Min'!#REF!+'CE Min'!#REF!</f>
        <v>#REF!</v>
      </c>
      <c r="F44" s="294" t="e">
        <f>+'CE Min'!#REF!+'CE Min'!#REF!</f>
        <v>#REF!</v>
      </c>
      <c r="G44" s="294" t="e">
        <f>+'CE Min'!#REF!+'CE Min'!#REF!</f>
        <v>#REF!</v>
      </c>
      <c r="H44" s="294" t="e">
        <f>+'CE Min'!#REF!+'CE Min'!#REF!</f>
        <v>#REF!</v>
      </c>
      <c r="I44" s="294" t="e">
        <f>+'CE Min'!#REF!+'CE Min'!#REF!</f>
        <v>#REF!</v>
      </c>
      <c r="J44" s="294" t="e">
        <f>+'CE Min'!#REF!+'CE Min'!#REF!</f>
        <v>#REF!</v>
      </c>
      <c r="K44" s="294" t="e">
        <f>+'CE Min'!#REF!+'CE Min'!#REF!</f>
        <v>#REF!</v>
      </c>
      <c r="L44" s="294" t="e">
        <f>+'CE Min'!#REF!+'CE Min'!#REF!</f>
        <v>#REF!</v>
      </c>
    </row>
    <row r="45" spans="1:12" ht="82.9" customHeight="1">
      <c r="A45" s="279" t="s">
        <v>2186</v>
      </c>
      <c r="B45" s="277" t="s">
        <v>2187</v>
      </c>
      <c r="C45" s="296" t="s">
        <v>2188</v>
      </c>
      <c r="D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29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281" t="s">
        <v>2189</v>
      </c>
      <c r="B46" s="317">
        <v>20</v>
      </c>
      <c r="C46" s="296" t="s">
        <v>2190</v>
      </c>
      <c r="D46" s="294" t="e">
        <f>+'CE Min'!#REF!+'CE Min'!#REF!+'CE Min'!#REF!+'CE Min'!#REF!+'CE Min'!#REF!+'CE Min'!#REF!+'CE Min'!#REF!+'CE Min'!#REF!+'CE Min'!#REF!+'CE Min'!#REF!+'CE Min'!#REF!+'CE Min'!#REF!+'CE Min'!#REF!</f>
        <v>#REF!</v>
      </c>
      <c r="E46" s="294" t="e">
        <f>+'CE Min'!#REF!+'CE Min'!#REF!+'CE Min'!#REF!+'CE Min'!#REF!+'CE Min'!#REF!+'CE Min'!#REF!+'CE Min'!#REF!+'CE Min'!#REF!+'CE Min'!#REF!+'CE Min'!#REF!+'CE Min'!#REF!+'CE Min'!#REF!+'CE Min'!#REF!</f>
        <v>#REF!</v>
      </c>
      <c r="F46" s="294" t="e">
        <f>+'CE Min'!#REF!+'CE Min'!#REF!+'CE Min'!#REF!+'CE Min'!#REF!+'CE Min'!#REF!+'CE Min'!#REF!+'CE Min'!#REF!+'CE Min'!#REF!+'CE Min'!#REF!+'CE Min'!#REF!+'CE Min'!#REF!+'CE Min'!#REF!+'CE Min'!#REF!</f>
        <v>#REF!</v>
      </c>
      <c r="G46" s="294" t="e">
        <f>+'CE Min'!#REF!+'CE Min'!#REF!+'CE Min'!#REF!+'CE Min'!#REF!+'CE Min'!#REF!+'CE Min'!#REF!+'CE Min'!#REF!+'CE Min'!#REF!+'CE Min'!#REF!+'CE Min'!#REF!+'CE Min'!#REF!+'CE Min'!#REF!+'CE Min'!#REF!</f>
        <v>#REF!</v>
      </c>
      <c r="H46" s="294" t="e">
        <f>+'CE Min'!#REF!+'CE Min'!#REF!+'CE Min'!#REF!+'CE Min'!#REF!+'CE Min'!#REF!+'CE Min'!#REF!+'CE Min'!#REF!+'CE Min'!#REF!+'CE Min'!#REF!+'CE Min'!#REF!+'CE Min'!#REF!+'CE Min'!#REF!+'CE Min'!#REF!</f>
        <v>#REF!</v>
      </c>
      <c r="I46" s="294" t="e">
        <f>+'CE Min'!#REF!+'CE Min'!#REF!+'CE Min'!#REF!+'CE Min'!#REF!+'CE Min'!#REF!+'CE Min'!#REF!+'CE Min'!#REF!+'CE Min'!#REF!+'CE Min'!#REF!+'CE Min'!#REF!+'CE Min'!#REF!+'CE Min'!#REF!+'CE Min'!#REF!</f>
        <v>#REF!</v>
      </c>
      <c r="J46" s="294" t="e">
        <f>+'CE Min'!#REF!+'CE Min'!#REF!+'CE Min'!#REF!+'CE Min'!#REF!+'CE Min'!#REF!+'CE Min'!#REF!+'CE Min'!#REF!+'CE Min'!#REF!+'CE Min'!#REF!+'CE Min'!#REF!+'CE Min'!#REF!+'CE Min'!#REF!+'CE Min'!#REF!</f>
        <v>#REF!</v>
      </c>
      <c r="K46" s="294" t="e">
        <f>+'CE Min'!#REF!+'CE Min'!#REF!+'CE Min'!#REF!+'CE Min'!#REF!+'CE Min'!#REF!+'CE Min'!#REF!+'CE Min'!#REF!+'CE Min'!#REF!+'CE Min'!#REF!+'CE Min'!#REF!+'CE Min'!#REF!+'CE Min'!#REF!+'CE Min'!#REF!</f>
        <v>#REF!</v>
      </c>
      <c r="L46" s="294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278" t="s">
        <v>2191</v>
      </c>
      <c r="B47" s="317">
        <v>21</v>
      </c>
      <c r="C47" s="297" t="s">
        <v>1349</v>
      </c>
      <c r="D47" s="294" t="e">
        <f>+'CE Min'!#REF!</f>
        <v>#REF!</v>
      </c>
      <c r="E47" s="294" t="e">
        <f>+'CE Min'!#REF!</f>
        <v>#REF!</v>
      </c>
      <c r="F47" s="294" t="e">
        <f>+'CE Min'!#REF!</f>
        <v>#REF!</v>
      </c>
      <c r="G47" s="294" t="e">
        <f>+'CE Min'!#REF!</f>
        <v>#REF!</v>
      </c>
      <c r="H47" s="294" t="e">
        <f>+'CE Min'!#REF!</f>
        <v>#REF!</v>
      </c>
      <c r="I47" s="294" t="e">
        <f>+'CE Min'!#REF!</f>
        <v>#REF!</v>
      </c>
      <c r="J47" s="294" t="e">
        <f>+'CE Min'!#REF!</f>
        <v>#REF!</v>
      </c>
      <c r="K47" s="294" t="e">
        <f>+'CE Min'!#REF!</f>
        <v>#REF!</v>
      </c>
      <c r="L47" s="294" t="e">
        <f>+'CE Min'!#REF!</f>
        <v>#REF!</v>
      </c>
    </row>
    <row r="48" spans="1:12">
      <c r="A48" s="278" t="s">
        <v>2192</v>
      </c>
      <c r="B48" s="317">
        <v>22</v>
      </c>
      <c r="C48" s="299" t="s">
        <v>2193</v>
      </c>
      <c r="D48" s="294" t="e">
        <f>+'CE Min'!#REF!+'CE Min'!#REF!</f>
        <v>#REF!</v>
      </c>
      <c r="E48" s="294" t="e">
        <f>+'CE Min'!#REF!+'CE Min'!#REF!</f>
        <v>#REF!</v>
      </c>
      <c r="F48" s="294" t="e">
        <f>+'CE Min'!#REF!+'CE Min'!#REF!</f>
        <v>#REF!</v>
      </c>
      <c r="G48" s="294" t="e">
        <f>+'CE Min'!#REF!+'CE Min'!#REF!</f>
        <v>#REF!</v>
      </c>
      <c r="H48" s="294" t="e">
        <f>+'CE Min'!#REF!+'CE Min'!#REF!</f>
        <v>#REF!</v>
      </c>
      <c r="I48" s="294" t="e">
        <f>+'CE Min'!#REF!+'CE Min'!#REF!</f>
        <v>#REF!</v>
      </c>
      <c r="J48" s="294" t="e">
        <f>+'CE Min'!#REF!+'CE Min'!#REF!</f>
        <v>#REF!</v>
      </c>
      <c r="K48" s="294" t="e">
        <f>+'CE Min'!#REF!+'CE Min'!#REF!</f>
        <v>#REF!</v>
      </c>
      <c r="L48" s="294" t="e">
        <f>+'CE Min'!#REF!+'CE Min'!#REF!</f>
        <v>#REF!</v>
      </c>
    </row>
    <row r="49" spans="1:12">
      <c r="A49" s="278" t="s">
        <v>2194</v>
      </c>
      <c r="B49" s="317">
        <v>23</v>
      </c>
      <c r="C49" s="299" t="s">
        <v>2195</v>
      </c>
      <c r="D49" s="294" t="e">
        <f>+'CE Min'!#REF!+'CE Min'!#REF!+'CE Min'!#REF!</f>
        <v>#REF!</v>
      </c>
      <c r="E49" s="294" t="e">
        <f>+'CE Min'!#REF!+'CE Min'!#REF!+'CE Min'!#REF!</f>
        <v>#REF!</v>
      </c>
      <c r="F49" s="294" t="e">
        <f>+'CE Min'!#REF!+'CE Min'!#REF!+'CE Min'!#REF!</f>
        <v>#REF!</v>
      </c>
      <c r="G49" s="294" t="e">
        <f>+'CE Min'!#REF!+'CE Min'!#REF!+'CE Min'!#REF!</f>
        <v>#REF!</v>
      </c>
      <c r="H49" s="294" t="e">
        <f>+'CE Min'!#REF!+'CE Min'!#REF!+'CE Min'!#REF!</f>
        <v>#REF!</v>
      </c>
      <c r="I49" s="294" t="e">
        <f>+'CE Min'!#REF!+'CE Min'!#REF!+'CE Min'!#REF!</f>
        <v>#REF!</v>
      </c>
      <c r="J49" s="294" t="e">
        <f>+'CE Min'!#REF!+'CE Min'!#REF!+'CE Min'!#REF!</f>
        <v>#REF!</v>
      </c>
      <c r="K49" s="294" t="e">
        <f>+'CE Min'!#REF!+'CE Min'!#REF!+'CE Min'!#REF!</f>
        <v>#REF!</v>
      </c>
      <c r="L49" s="294" t="e">
        <f>+'CE Min'!#REF!+'CE Min'!#REF!+'CE Min'!#REF!</f>
        <v>#REF!</v>
      </c>
    </row>
    <row r="50" spans="1:12">
      <c r="A50" s="282" t="s">
        <v>2196</v>
      </c>
      <c r="B50" s="317">
        <v>24</v>
      </c>
      <c r="C50" s="300" t="s">
        <v>1927</v>
      </c>
      <c r="D50" s="294" t="e">
        <f>+'CE Min'!#REF!</f>
        <v>#REF!</v>
      </c>
      <c r="E50" s="294" t="e">
        <f>+'CE Min'!#REF!</f>
        <v>#REF!</v>
      </c>
      <c r="F50" s="294" t="e">
        <f>+'CE Min'!#REF!</f>
        <v>#REF!</v>
      </c>
      <c r="G50" s="294" t="e">
        <f>+'CE Min'!#REF!</f>
        <v>#REF!</v>
      </c>
      <c r="H50" s="294" t="e">
        <f>+'CE Min'!#REF!</f>
        <v>#REF!</v>
      </c>
      <c r="I50" s="294" t="e">
        <f>+'CE Min'!#REF!</f>
        <v>#REF!</v>
      </c>
      <c r="J50" s="294" t="e">
        <f>+'CE Min'!#REF!</f>
        <v>#REF!</v>
      </c>
      <c r="K50" s="294" t="e">
        <f>+'CE Min'!#REF!</f>
        <v>#REF!</v>
      </c>
      <c r="L50" s="294" t="e">
        <f>+'CE Min'!#REF!</f>
        <v>#REF!</v>
      </c>
    </row>
    <row r="51" spans="1:12" ht="83.65" customHeight="1">
      <c r="A51" s="283" t="s">
        <v>2197</v>
      </c>
      <c r="B51" s="317">
        <v>25</v>
      </c>
      <c r="C51" s="301" t="s">
        <v>2198</v>
      </c>
      <c r="D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29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283" t="s">
        <v>2199</v>
      </c>
      <c r="B52" s="317">
        <v>26</v>
      </c>
      <c r="C52" s="301" t="s">
        <v>2200</v>
      </c>
      <c r="D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294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278" t="s">
        <v>2201</v>
      </c>
      <c r="B53" s="317">
        <v>27</v>
      </c>
      <c r="C53" s="302" t="s">
        <v>2202</v>
      </c>
      <c r="D53" s="294" t="e">
        <f>-'CE Min'!#REF!+'CE Min'!#REF!+'CE Min'!#REF!</f>
        <v>#REF!</v>
      </c>
      <c r="E53" s="294" t="e">
        <f>-'CE Min'!#REF!+'CE Min'!#REF!+'CE Min'!#REF!</f>
        <v>#REF!</v>
      </c>
      <c r="F53" s="294" t="e">
        <f>-'CE Min'!#REF!+'CE Min'!#REF!+'CE Min'!#REF!</f>
        <v>#REF!</v>
      </c>
      <c r="G53" s="294" t="e">
        <f>-'CE Min'!#REF!+'CE Min'!#REF!+'CE Min'!#REF!</f>
        <v>#REF!</v>
      </c>
      <c r="H53" s="294" t="e">
        <f>-'CE Min'!#REF!+'CE Min'!#REF!+'CE Min'!#REF!</f>
        <v>#REF!</v>
      </c>
      <c r="I53" s="294" t="e">
        <f>-'CE Min'!#REF!+'CE Min'!#REF!+'CE Min'!#REF!</f>
        <v>#REF!</v>
      </c>
      <c r="J53" s="294" t="e">
        <f>-'CE Min'!#REF!+'CE Min'!#REF!+'CE Min'!#REF!</f>
        <v>#REF!</v>
      </c>
      <c r="K53" s="294" t="e">
        <f>-'CE Min'!#REF!+'CE Min'!#REF!+'CE Min'!#REF!</f>
        <v>#REF!</v>
      </c>
      <c r="L53" s="294" t="e">
        <f>-'CE Min'!#REF!+'CE Min'!#REF!+'CE Min'!#REF!</f>
        <v>#REF!</v>
      </c>
    </row>
    <row r="54" spans="1:12" ht="34.15" customHeight="1">
      <c r="A54" s="278" t="s">
        <v>2203</v>
      </c>
      <c r="B54" s="317">
        <v>28</v>
      </c>
      <c r="C54" s="303" t="s">
        <v>2204</v>
      </c>
      <c r="D54" s="294" t="e">
        <f>-'CE Min'!#REF!+'CE Min'!#REF!+'CE Min'!#REF!+'CE Min'!#REF!</f>
        <v>#REF!</v>
      </c>
      <c r="E54" s="294" t="e">
        <f>-'CE Min'!#REF!+'CE Min'!#REF!+'CE Min'!#REF!+'CE Min'!#REF!</f>
        <v>#REF!</v>
      </c>
      <c r="F54" s="294" t="e">
        <f>-'CE Min'!#REF!+'CE Min'!#REF!+'CE Min'!#REF!+'CE Min'!#REF!</f>
        <v>#REF!</v>
      </c>
      <c r="G54" s="294" t="e">
        <f>-'CE Min'!#REF!+'CE Min'!#REF!+'CE Min'!#REF!+'CE Min'!#REF!</f>
        <v>#REF!</v>
      </c>
      <c r="H54" s="294" t="e">
        <f>-'CE Min'!#REF!+'CE Min'!#REF!+'CE Min'!#REF!+'CE Min'!#REF!</f>
        <v>#REF!</v>
      </c>
      <c r="I54" s="294" t="e">
        <f>-'CE Min'!#REF!+'CE Min'!#REF!+'CE Min'!#REF!+'CE Min'!#REF!</f>
        <v>#REF!</v>
      </c>
      <c r="J54" s="294" t="e">
        <f>-'CE Min'!#REF!+'CE Min'!#REF!+'CE Min'!#REF!+'CE Min'!#REF!</f>
        <v>#REF!</v>
      </c>
      <c r="K54" s="294" t="e">
        <f>-'CE Min'!#REF!+'CE Min'!#REF!+'CE Min'!#REF!+'CE Min'!#REF!</f>
        <v>#REF!</v>
      </c>
      <c r="L54" s="294" t="e">
        <f>-'CE Min'!#REF!+'CE Min'!#REF!+'CE Min'!#REF!+'CE Min'!#REF!</f>
        <v>#REF!</v>
      </c>
    </row>
    <row r="55" spans="1:12" ht="66.599999999999994" customHeight="1">
      <c r="A55" s="284" t="s">
        <v>2205</v>
      </c>
      <c r="B55" s="319">
        <v>29</v>
      </c>
      <c r="C55" s="304" t="s">
        <v>2206</v>
      </c>
      <c r="D55" s="294" t="e">
        <f>-'CE Min'!#REF!-'CE Min'!#REF!-'CE Min'!#REF!-'CE Min'!#REF!-'CE Min'!#REF!+'CE Min'!#REF!+'CE Min'!#REF!+'CE Min'!#REF!+'CE Min'!#REF!+'CE Min'!#REF!</f>
        <v>#REF!</v>
      </c>
      <c r="E55" s="294" t="e">
        <f>-'CE Min'!#REF!-'CE Min'!#REF!-'CE Min'!#REF!-'CE Min'!#REF!-'CE Min'!#REF!+'CE Min'!#REF!+'CE Min'!#REF!+'CE Min'!#REF!+'CE Min'!#REF!+'CE Min'!#REF!</f>
        <v>#REF!</v>
      </c>
      <c r="F55" s="294" t="e">
        <f>-'CE Min'!#REF!-'CE Min'!#REF!-'CE Min'!#REF!-'CE Min'!#REF!-'CE Min'!#REF!+'CE Min'!#REF!+'CE Min'!#REF!+'CE Min'!#REF!+'CE Min'!#REF!+'CE Min'!#REF!</f>
        <v>#REF!</v>
      </c>
      <c r="G55" s="294" t="e">
        <f>-'CE Min'!#REF!-'CE Min'!#REF!-'CE Min'!#REF!-'CE Min'!#REF!-'CE Min'!#REF!+'CE Min'!#REF!+'CE Min'!#REF!+'CE Min'!#REF!+'CE Min'!#REF!+'CE Min'!#REF!</f>
        <v>#REF!</v>
      </c>
      <c r="H55" s="294" t="e">
        <f>-'CE Min'!#REF!-'CE Min'!#REF!-'CE Min'!#REF!-'CE Min'!#REF!-'CE Min'!#REF!+'CE Min'!#REF!+'CE Min'!#REF!+'CE Min'!#REF!+'CE Min'!#REF!+'CE Min'!#REF!</f>
        <v>#REF!</v>
      </c>
      <c r="I55" s="294" t="e">
        <f>-'CE Min'!#REF!-'CE Min'!#REF!-'CE Min'!#REF!-'CE Min'!#REF!-'CE Min'!#REF!+'CE Min'!#REF!+'CE Min'!#REF!+'CE Min'!#REF!+'CE Min'!#REF!+'CE Min'!#REF!</f>
        <v>#REF!</v>
      </c>
      <c r="J55" s="294" t="e">
        <f>-'CE Min'!#REF!-'CE Min'!#REF!-'CE Min'!#REF!-'CE Min'!#REF!-'CE Min'!#REF!+'CE Min'!#REF!+'CE Min'!#REF!+'CE Min'!#REF!+'CE Min'!#REF!+'CE Min'!#REF!</f>
        <v>#REF!</v>
      </c>
      <c r="K55" s="294" t="e">
        <f>-'CE Min'!#REF!-'CE Min'!#REF!-'CE Min'!#REF!-'CE Min'!#REF!-'CE Min'!#REF!+'CE Min'!#REF!+'CE Min'!#REF!+'CE Min'!#REF!+'CE Min'!#REF!+'CE Min'!#REF!</f>
        <v>#REF!</v>
      </c>
      <c r="L55" s="294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285" t="s">
        <v>2207</v>
      </c>
      <c r="B56" s="320" t="s">
        <v>2208</v>
      </c>
      <c r="C56" s="305"/>
      <c r="D56" s="305" t="e">
        <f>+D25+D31+D32+D35+D38+D46+D47+D48+D49+D50+D51+D52+D53+D54+D55</f>
        <v>#REF!</v>
      </c>
      <c r="E56" s="305" t="e">
        <f t="shared" ref="E56:L56" si="6">+E25+E31+E32+E35+E38+E46+E47+E48+E49+E50+E51+E52+E53+E54+E55</f>
        <v>#REF!</v>
      </c>
      <c r="F56" s="305" t="e">
        <f t="shared" si="6"/>
        <v>#REF!</v>
      </c>
      <c r="G56" s="305" t="e">
        <f t="shared" si="6"/>
        <v>#REF!</v>
      </c>
      <c r="H56" s="305" t="e">
        <f t="shared" si="6"/>
        <v>#REF!</v>
      </c>
      <c r="I56" s="305" t="e">
        <f t="shared" si="6"/>
        <v>#REF!</v>
      </c>
      <c r="J56" s="305" t="e">
        <f t="shared" si="6"/>
        <v>#REF!</v>
      </c>
      <c r="K56" s="305" t="e">
        <f t="shared" si="6"/>
        <v>#REF!</v>
      </c>
      <c r="L56" s="305" t="e">
        <f t="shared" si="6"/>
        <v>#REF!</v>
      </c>
    </row>
    <row r="57" spans="1:12" ht="14.25" thickTop="1" thickBot="1">
      <c r="A57" s="258"/>
      <c r="B57" s="321"/>
      <c r="C57" s="258"/>
    </row>
    <row r="58" spans="1:12" ht="19.5" thickTop="1" thickBot="1">
      <c r="A58" s="286" t="s">
        <v>2089</v>
      </c>
      <c r="B58" s="322" t="s">
        <v>2209</v>
      </c>
      <c r="C58" s="287"/>
      <c r="D58" s="287" t="e">
        <f>+D19-D56</f>
        <v>#REF!</v>
      </c>
      <c r="E58" s="287" t="e">
        <f t="shared" ref="E58:L58" si="7">+E19-E56</f>
        <v>#REF!</v>
      </c>
      <c r="F58" s="287" t="e">
        <f t="shared" si="7"/>
        <v>#REF!</v>
      </c>
      <c r="G58" s="287" t="e">
        <f t="shared" si="7"/>
        <v>#REF!</v>
      </c>
      <c r="H58" s="287" t="e">
        <f t="shared" si="7"/>
        <v>#REF!</v>
      </c>
      <c r="I58" s="287" t="e">
        <f t="shared" si="7"/>
        <v>#REF!</v>
      </c>
      <c r="J58" s="287" t="e">
        <f t="shared" si="7"/>
        <v>#REF!</v>
      </c>
      <c r="K58" s="287" t="e">
        <f t="shared" si="7"/>
        <v>#REF!</v>
      </c>
      <c r="L58" s="287" t="e">
        <f t="shared" si="7"/>
        <v>#REF!</v>
      </c>
    </row>
    <row r="59" spans="1:12" ht="13.5" thickTop="1"/>
  </sheetData>
  <mergeCells count="25"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22</vt:i4>
      </vt:variant>
    </vt:vector>
  </HeadingPairs>
  <TitlesOfParts>
    <vt:vector size="32" baseType="lpstr">
      <vt:lpstr>Schema CE</vt:lpstr>
      <vt:lpstr>CE Min</vt:lpstr>
      <vt:lpstr>Alimentazione CE Costi</vt:lpstr>
      <vt:lpstr>Alimentazione CE Ricavi</vt:lpstr>
      <vt:lpstr>Schema SP</vt:lpstr>
      <vt:lpstr>SP Min</vt:lpstr>
      <vt:lpstr>SP Attivo Alim</vt:lpstr>
      <vt:lpstr>Alimentazione SP P</vt:lpstr>
      <vt:lpstr>Rendiconto finanziario</vt:lpstr>
      <vt:lpstr>ce art. 44</vt:lpstr>
      <vt:lpstr>'Alimentazione CE Costi'!Area_stampa</vt:lpstr>
      <vt:lpstr>'Alimentazione SP P'!Area_stampa</vt:lpstr>
      <vt:lpstr>'CE Min'!Area_stampa</vt:lpstr>
      <vt:lpstr>'Rendiconto finanziario'!Area_stampa</vt:lpstr>
      <vt:lpstr>'Schema SP'!Area_stampa</vt:lpstr>
      <vt:lpstr>'SP Min'!Area_stampa</vt:lpstr>
      <vt:lpstr>'ce art. 44'!Print_Area</vt:lpstr>
      <vt:lpstr>'CE Min'!Print_Area</vt:lpstr>
      <vt:lpstr>'Rendiconto finanziario'!Print_Area</vt:lpstr>
      <vt:lpstr>'SP Min'!Print_Area</vt:lpstr>
      <vt:lpstr>'Alimentazione CE Costi'!Print_Titles</vt:lpstr>
      <vt:lpstr>'Alimentazione CE Ricavi'!Print_Titles</vt:lpstr>
      <vt:lpstr>'Alimentazione SP P'!Print_Titles</vt:lpstr>
      <vt:lpstr>'CE Min'!Print_Titles</vt:lpstr>
      <vt:lpstr>'Schema CE'!Print_Titles</vt:lpstr>
      <vt:lpstr>'Schema SP'!Print_Titles</vt:lpstr>
      <vt:lpstr>'SP Attivo Alim'!Print_Titles</vt:lpstr>
      <vt:lpstr>'SP Min'!Print_Titles</vt:lpstr>
      <vt:lpstr>'Alimentazione SP P'!Titoli_stampa</vt:lpstr>
      <vt:lpstr>'Rendiconto finanziario'!Titoli_stampa</vt:lpstr>
      <vt:lpstr>'SP Attivo Alim'!Titoli_stampa</vt:lpstr>
      <vt:lpstr>'SP Min'!Titoli_stampa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2024-04-30T10:48:54Z</cp:lastPrinted>
  <dcterms:created xsi:type="dcterms:W3CDTF">2019-07-05T08:06:15Z</dcterms:created>
  <dcterms:modified xsi:type="dcterms:W3CDTF">2024-06-28T09:38:02Z</dcterms:modified>
</cp:coreProperties>
</file>