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Pubblicazione Bilanci\Pubblicazione sul sito internet\2024\"/>
    </mc:Choice>
  </mc:AlternateContent>
  <xr:revisionPtr revIDLastSave="0" documentId="8_{CCF32D60-7791-433D-AEC6-61AEE89098C7}" xr6:coauthVersionLast="47" xr6:coauthVersionMax="47" xr10:uidLastSave="{00000000-0000-0000-0000-000000000000}"/>
  <bookViews>
    <workbookView xWindow="-120" yWindow="-120" windowWidth="29040" windowHeight="15840" tabRatio="913" activeTab="7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Schema SP" sheetId="23" r:id="rId5"/>
    <sheet name="SP Min" sheetId="24" r:id="rId6"/>
    <sheet name="SP Attivo Alim" sheetId="25" r:id="rId7"/>
    <sheet name="Alimentazione SP P" sheetId="26" r:id="rId8"/>
    <sheet name="Rendiconto finanziario" sheetId="27" r:id="rId9"/>
    <sheet name="ce art. 44" sheetId="17" state="hidden" r:id="rId10"/>
  </sheets>
  <definedNames>
    <definedName name="_xlnm._FilterDatabase" localSheetId="2" hidden="1">'Alimentazione CE Costi'!$A$2:$N$1047</definedName>
    <definedName name="_xlnm._FilterDatabase" localSheetId="3" hidden="1">'Alimentazione CE Ricavi'!$A$2:$GI$273</definedName>
    <definedName name="_xlnm._FilterDatabase" localSheetId="7" hidden="1">'Alimentazione SP P'!$A$2:$M$314</definedName>
    <definedName name="_xlnm._FilterDatabase" localSheetId="6" hidden="1">'SP Attivo Alim'!$A$2:$N$260</definedName>
    <definedName name="_xlnm._FilterDatabase" localSheetId="5" hidden="1">'SP Min'!$A$29:$WVU$346</definedName>
    <definedName name="_xlnm.Print_Area" localSheetId="9">'ce art. 44'!$A$3:$C$58</definedName>
    <definedName name="_xlnm.Print_Area" localSheetId="1">'CE Min'!$A$23:$G$587</definedName>
    <definedName name="_xlnm.Print_Area" localSheetId="8">'Rendiconto finanziario'!$A$1:$D$115</definedName>
    <definedName name="_xlnm.Print_Area" localSheetId="5">'SP Min'!$A$1:$AB$360</definedName>
    <definedName name="_xlnm.Print_Titles" localSheetId="2">'Alimentazione CE Costi'!$1:$2</definedName>
    <definedName name="_xlnm.Print_Titles" localSheetId="3">'Alimentazione CE Ricavi'!$1:$2</definedName>
    <definedName name="_xlnm.Print_Titles" localSheetId="7">'Alimentazione SP P'!$1:$2</definedName>
    <definedName name="_xlnm.Print_Titles" localSheetId="1">'CE Min'!$24:$24</definedName>
    <definedName name="_xlnm.Print_Titles" localSheetId="0">'Schema CE'!$2:$5</definedName>
    <definedName name="_xlnm.Print_Titles" localSheetId="4">'Schema SP'!$3:$4</definedName>
    <definedName name="_xlnm.Print_Titles" localSheetId="6">'SP Attivo Alim'!$1:$2</definedName>
    <definedName name="_xlnm.Print_Titles" localSheetId="5">'SP Min'!$29:$29</definedName>
  </definedNames>
  <calcPr calcId="181029"/>
</workbook>
</file>

<file path=xl/calcChain.xml><?xml version="1.0" encoding="utf-8"?>
<calcChain xmlns="http://schemas.openxmlformats.org/spreadsheetml/2006/main">
  <c r="H33" i="23" l="1"/>
  <c r="G141" i="23"/>
  <c r="H141" i="23"/>
  <c r="H72" i="23" l="1"/>
  <c r="G72" i="23"/>
  <c r="H66" i="23"/>
  <c r="G66" i="23"/>
  <c r="H60" i="23"/>
  <c r="G60" i="23"/>
  <c r="H59" i="23"/>
  <c r="H58" i="23" s="1"/>
  <c r="G59" i="23"/>
  <c r="H52" i="23"/>
  <c r="H47" i="23" s="1"/>
  <c r="G52" i="23"/>
  <c r="G48" i="23"/>
  <c r="K542" i="3"/>
  <c r="K546" i="3"/>
  <c r="K550" i="3"/>
  <c r="K558" i="3"/>
  <c r="K562" i="3"/>
  <c r="K566" i="3"/>
  <c r="K570" i="3"/>
  <c r="K574" i="3"/>
  <c r="K578" i="3"/>
  <c r="K582" i="3"/>
  <c r="K586" i="3"/>
  <c r="K590" i="3"/>
  <c r="K594" i="3"/>
  <c r="K598" i="3"/>
  <c r="K602" i="3"/>
  <c r="K606" i="3"/>
  <c r="K610" i="3"/>
  <c r="K614" i="3"/>
  <c r="K618" i="3"/>
  <c r="K622" i="3"/>
  <c r="K626" i="3"/>
  <c r="K630" i="3"/>
  <c r="K634" i="3"/>
  <c r="K638" i="3"/>
  <c r="K642" i="3"/>
  <c r="K646" i="3"/>
  <c r="K650" i="3"/>
  <c r="K654" i="3"/>
  <c r="K658" i="3"/>
  <c r="K662" i="3"/>
  <c r="K666" i="3"/>
  <c r="K682" i="3"/>
  <c r="K686" i="3"/>
  <c r="K694" i="3"/>
  <c r="K698" i="3"/>
  <c r="K702" i="3"/>
  <c r="K706" i="3"/>
  <c r="K710" i="3"/>
  <c r="K714" i="3"/>
  <c r="K718" i="3"/>
  <c r="K722" i="3"/>
  <c r="K726" i="3"/>
  <c r="K730" i="3"/>
  <c r="K734" i="3"/>
  <c r="K738" i="3"/>
  <c r="K742" i="3"/>
  <c r="K746" i="3"/>
  <c r="K750" i="3"/>
  <c r="K754" i="3"/>
  <c r="K758" i="3"/>
  <c r="K762" i="3"/>
  <c r="K766" i="3"/>
  <c r="K770" i="3"/>
  <c r="K774" i="3"/>
  <c r="K778" i="3"/>
  <c r="K782" i="3"/>
  <c r="K786" i="3"/>
  <c r="K790" i="3"/>
  <c r="K794" i="3"/>
  <c r="K798" i="3"/>
  <c r="K802" i="3"/>
  <c r="K806" i="3"/>
  <c r="K810" i="3"/>
  <c r="K814" i="3"/>
  <c r="K818" i="3"/>
  <c r="K822" i="3"/>
  <c r="K826" i="3"/>
  <c r="K830" i="3"/>
  <c r="K834" i="3"/>
  <c r="K838" i="3"/>
  <c r="K842" i="3"/>
  <c r="K846" i="3"/>
  <c r="K850" i="3"/>
  <c r="K854" i="3"/>
  <c r="K858" i="3"/>
  <c r="K862" i="3"/>
  <c r="K866" i="3"/>
  <c r="K870" i="3"/>
  <c r="K874" i="3"/>
  <c r="K878" i="3"/>
  <c r="K882" i="3"/>
  <c r="K886" i="3"/>
  <c r="K890" i="3"/>
  <c r="K894" i="3"/>
  <c r="K898" i="3"/>
  <c r="K902" i="3"/>
  <c r="K906" i="3"/>
  <c r="K910" i="3"/>
  <c r="K914" i="3"/>
  <c r="K918" i="3"/>
  <c r="K922" i="3"/>
  <c r="K926" i="3"/>
  <c r="K930" i="3"/>
  <c r="K934" i="3"/>
  <c r="K938" i="3"/>
  <c r="K942" i="3"/>
  <c r="K946" i="3"/>
  <c r="K950" i="3"/>
  <c r="K954" i="3"/>
  <c r="K958" i="3"/>
  <c r="K962" i="3"/>
  <c r="K966" i="3"/>
  <c r="K970" i="3"/>
  <c r="K974" i="3"/>
  <c r="K978" i="3"/>
  <c r="K982" i="3"/>
  <c r="K986" i="3"/>
  <c r="K990" i="3"/>
  <c r="K994" i="3"/>
  <c r="K998" i="3"/>
  <c r="K1002" i="3"/>
  <c r="K1006" i="3"/>
  <c r="K1010" i="3"/>
  <c r="K1014" i="3"/>
  <c r="K1018" i="3"/>
  <c r="K6" i="3"/>
  <c r="J297" i="26"/>
  <c r="I297" i="26"/>
  <c r="J247" i="25"/>
  <c r="I247" i="25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3" i="3"/>
  <c r="K544" i="3"/>
  <c r="K545" i="3"/>
  <c r="K547" i="3"/>
  <c r="K548" i="3"/>
  <c r="K549" i="3"/>
  <c r="K551" i="3"/>
  <c r="K552" i="3"/>
  <c r="K553" i="3"/>
  <c r="K555" i="3"/>
  <c r="K556" i="3"/>
  <c r="K557" i="3"/>
  <c r="K559" i="3"/>
  <c r="K560" i="3"/>
  <c r="K561" i="3"/>
  <c r="K563" i="3"/>
  <c r="K564" i="3"/>
  <c r="K565" i="3"/>
  <c r="K567" i="3"/>
  <c r="K568" i="3"/>
  <c r="K569" i="3"/>
  <c r="K571" i="3"/>
  <c r="K572" i="3"/>
  <c r="K573" i="3"/>
  <c r="K575" i="3"/>
  <c r="K576" i="3"/>
  <c r="K577" i="3"/>
  <c r="K579" i="3"/>
  <c r="K580" i="3"/>
  <c r="K581" i="3"/>
  <c r="K583" i="3"/>
  <c r="K584" i="3"/>
  <c r="K585" i="3"/>
  <c r="K587" i="3"/>
  <c r="K588" i="3"/>
  <c r="K589" i="3"/>
  <c r="K591" i="3"/>
  <c r="K592" i="3"/>
  <c r="K593" i="3"/>
  <c r="K595" i="3"/>
  <c r="K596" i="3"/>
  <c r="K597" i="3"/>
  <c r="K599" i="3"/>
  <c r="K600" i="3"/>
  <c r="K601" i="3"/>
  <c r="K603" i="3"/>
  <c r="K604" i="3"/>
  <c r="K605" i="3"/>
  <c r="K607" i="3"/>
  <c r="K608" i="3"/>
  <c r="K609" i="3"/>
  <c r="K611" i="3"/>
  <c r="K612" i="3"/>
  <c r="K613" i="3"/>
  <c r="K615" i="3"/>
  <c r="K616" i="3"/>
  <c r="K617" i="3"/>
  <c r="K619" i="3"/>
  <c r="K620" i="3"/>
  <c r="K621" i="3"/>
  <c r="K623" i="3"/>
  <c r="K624" i="3"/>
  <c r="K625" i="3"/>
  <c r="K627" i="3"/>
  <c r="K628" i="3"/>
  <c r="K629" i="3"/>
  <c r="K631" i="3"/>
  <c r="K632" i="3"/>
  <c r="K633" i="3"/>
  <c r="K635" i="3"/>
  <c r="K636" i="3"/>
  <c r="K637" i="3"/>
  <c r="K639" i="3"/>
  <c r="K640" i="3"/>
  <c r="K641" i="3"/>
  <c r="K643" i="3"/>
  <c r="K644" i="3"/>
  <c r="K645" i="3"/>
  <c r="K647" i="3"/>
  <c r="K648" i="3"/>
  <c r="K649" i="3"/>
  <c r="K651" i="3"/>
  <c r="K652" i="3"/>
  <c r="K653" i="3"/>
  <c r="K655" i="3"/>
  <c r="K656" i="3"/>
  <c r="K657" i="3"/>
  <c r="K659" i="3"/>
  <c r="K660" i="3"/>
  <c r="K661" i="3"/>
  <c r="K663" i="3"/>
  <c r="K664" i="3"/>
  <c r="K665" i="3"/>
  <c r="K667" i="3"/>
  <c r="K668" i="3"/>
  <c r="K669" i="3"/>
  <c r="K680" i="3"/>
  <c r="K681" i="3"/>
  <c r="K683" i="3"/>
  <c r="K684" i="3"/>
  <c r="K685" i="3"/>
  <c r="K687" i="3"/>
  <c r="K688" i="3"/>
  <c r="K689" i="3"/>
  <c r="K691" i="3"/>
  <c r="K692" i="3"/>
  <c r="K693" i="3"/>
  <c r="K695" i="3"/>
  <c r="K696" i="3"/>
  <c r="K697" i="3"/>
  <c r="K699" i="3"/>
  <c r="K700" i="3"/>
  <c r="K701" i="3"/>
  <c r="K703" i="3"/>
  <c r="K704" i="3"/>
  <c r="K705" i="3"/>
  <c r="K707" i="3"/>
  <c r="K708" i="3"/>
  <c r="K709" i="3"/>
  <c r="K711" i="3"/>
  <c r="K712" i="3"/>
  <c r="K713" i="3"/>
  <c r="K715" i="3"/>
  <c r="K716" i="3"/>
  <c r="K717" i="3"/>
  <c r="K719" i="3"/>
  <c r="K720" i="3"/>
  <c r="K721" i="3"/>
  <c r="K723" i="3"/>
  <c r="K724" i="3"/>
  <c r="K725" i="3"/>
  <c r="K727" i="3"/>
  <c r="K728" i="3"/>
  <c r="K729" i="3"/>
  <c r="K731" i="3"/>
  <c r="K732" i="3"/>
  <c r="K733" i="3"/>
  <c r="K735" i="3"/>
  <c r="K736" i="3"/>
  <c r="K737" i="3"/>
  <c r="K739" i="3"/>
  <c r="K740" i="3"/>
  <c r="K741" i="3"/>
  <c r="K743" i="3"/>
  <c r="K744" i="3"/>
  <c r="K745" i="3"/>
  <c r="K747" i="3"/>
  <c r="K748" i="3"/>
  <c r="K749" i="3"/>
  <c r="K751" i="3"/>
  <c r="K752" i="3"/>
  <c r="K753" i="3"/>
  <c r="K755" i="3"/>
  <c r="K757" i="3"/>
  <c r="K759" i="3"/>
  <c r="K760" i="3"/>
  <c r="K761" i="3"/>
  <c r="K763" i="3"/>
  <c r="K764" i="3"/>
  <c r="K765" i="3"/>
  <c r="K767" i="3"/>
  <c r="K768" i="3"/>
  <c r="K769" i="3"/>
  <c r="K771" i="3"/>
  <c r="K772" i="3"/>
  <c r="K773" i="3"/>
  <c r="K775" i="3"/>
  <c r="K776" i="3"/>
  <c r="K777" i="3"/>
  <c r="K779" i="3"/>
  <c r="K780" i="3"/>
  <c r="K781" i="3"/>
  <c r="K783" i="3"/>
  <c r="K784" i="3"/>
  <c r="K785" i="3"/>
  <c r="K787" i="3"/>
  <c r="K788" i="3"/>
  <c r="K789" i="3"/>
  <c r="K791" i="3"/>
  <c r="K792" i="3"/>
  <c r="K793" i="3"/>
  <c r="K795" i="3"/>
  <c r="K796" i="3"/>
  <c r="K797" i="3"/>
  <c r="K799" i="3"/>
  <c r="K800" i="3"/>
  <c r="K801" i="3"/>
  <c r="K803" i="3"/>
  <c r="K804" i="3"/>
  <c r="K805" i="3"/>
  <c r="K807" i="3"/>
  <c r="K808" i="3"/>
  <c r="K809" i="3"/>
  <c r="K811" i="3"/>
  <c r="K812" i="3"/>
  <c r="K813" i="3"/>
  <c r="K815" i="3"/>
  <c r="K816" i="3"/>
  <c r="K817" i="3"/>
  <c r="K819" i="3"/>
  <c r="K820" i="3"/>
  <c r="K821" i="3"/>
  <c r="K823" i="3"/>
  <c r="K824" i="3"/>
  <c r="K825" i="3"/>
  <c r="K827" i="3"/>
  <c r="K828" i="3"/>
  <c r="K829" i="3"/>
  <c r="K831" i="3"/>
  <c r="K832" i="3"/>
  <c r="K833" i="3"/>
  <c r="K835" i="3"/>
  <c r="K836" i="3"/>
  <c r="K837" i="3"/>
  <c r="K839" i="3"/>
  <c r="K840" i="3"/>
  <c r="K841" i="3"/>
  <c r="K843" i="3"/>
  <c r="K844" i="3"/>
  <c r="K845" i="3"/>
  <c r="K847" i="3"/>
  <c r="K848" i="3"/>
  <c r="K849" i="3"/>
  <c r="K851" i="3"/>
  <c r="K852" i="3"/>
  <c r="K853" i="3"/>
  <c r="K855" i="3"/>
  <c r="K856" i="3"/>
  <c r="K857" i="3"/>
  <c r="K859" i="3"/>
  <c r="K860" i="3"/>
  <c r="K861" i="3"/>
  <c r="K863" i="3"/>
  <c r="K864" i="3"/>
  <c r="K865" i="3"/>
  <c r="K867" i="3"/>
  <c r="K868" i="3"/>
  <c r="K869" i="3"/>
  <c r="K871" i="3"/>
  <c r="K872" i="3"/>
  <c r="K873" i="3"/>
  <c r="K875" i="3"/>
  <c r="K876" i="3"/>
  <c r="K877" i="3"/>
  <c r="K879" i="3"/>
  <c r="K880" i="3"/>
  <c r="K881" i="3"/>
  <c r="K883" i="3"/>
  <c r="K884" i="3"/>
  <c r="K885" i="3"/>
  <c r="K887" i="3"/>
  <c r="K888" i="3"/>
  <c r="K889" i="3"/>
  <c r="K891" i="3"/>
  <c r="K892" i="3"/>
  <c r="K893" i="3"/>
  <c r="K895" i="3"/>
  <c r="K896" i="3"/>
  <c r="K897" i="3"/>
  <c r="K899" i="3"/>
  <c r="K900" i="3"/>
  <c r="K901" i="3"/>
  <c r="K903" i="3"/>
  <c r="K904" i="3"/>
  <c r="K905" i="3"/>
  <c r="K907" i="3"/>
  <c r="K908" i="3"/>
  <c r="K909" i="3"/>
  <c r="K911" i="3"/>
  <c r="K912" i="3"/>
  <c r="K913" i="3"/>
  <c r="K915" i="3"/>
  <c r="K916" i="3"/>
  <c r="K917" i="3"/>
  <c r="K919" i="3"/>
  <c r="K920" i="3"/>
  <c r="K921" i="3"/>
  <c r="K923" i="3"/>
  <c r="K924" i="3"/>
  <c r="K925" i="3"/>
  <c r="K927" i="3"/>
  <c r="K928" i="3"/>
  <c r="K929" i="3"/>
  <c r="K931" i="3"/>
  <c r="K932" i="3"/>
  <c r="K933" i="3"/>
  <c r="K935" i="3"/>
  <c r="K936" i="3"/>
  <c r="K937" i="3"/>
  <c r="K939" i="3"/>
  <c r="K940" i="3"/>
  <c r="K941" i="3"/>
  <c r="K943" i="3"/>
  <c r="K944" i="3"/>
  <c r="K945" i="3"/>
  <c r="K947" i="3"/>
  <c r="K948" i="3"/>
  <c r="K949" i="3"/>
  <c r="K951" i="3"/>
  <c r="K952" i="3"/>
  <c r="K953" i="3"/>
  <c r="K955" i="3"/>
  <c r="K956" i="3"/>
  <c r="K957" i="3"/>
  <c r="K959" i="3"/>
  <c r="K960" i="3"/>
  <c r="K961" i="3"/>
  <c r="K963" i="3"/>
  <c r="K964" i="3"/>
  <c r="K965" i="3"/>
  <c r="K967" i="3"/>
  <c r="K968" i="3"/>
  <c r="K969" i="3"/>
  <c r="K971" i="3"/>
  <c r="K972" i="3"/>
  <c r="K973" i="3"/>
  <c r="K975" i="3"/>
  <c r="K976" i="3"/>
  <c r="K977" i="3"/>
  <c r="K979" i="3"/>
  <c r="K980" i="3"/>
  <c r="K981" i="3"/>
  <c r="K983" i="3"/>
  <c r="K984" i="3"/>
  <c r="K985" i="3"/>
  <c r="K987" i="3"/>
  <c r="K988" i="3"/>
  <c r="K989" i="3"/>
  <c r="K991" i="3"/>
  <c r="K992" i="3"/>
  <c r="K993" i="3"/>
  <c r="K995" i="3"/>
  <c r="K996" i="3"/>
  <c r="K997" i="3"/>
  <c r="K999" i="3"/>
  <c r="K1000" i="3"/>
  <c r="K1001" i="3"/>
  <c r="K1003" i="3"/>
  <c r="K1004" i="3"/>
  <c r="K1005" i="3"/>
  <c r="K1007" i="3"/>
  <c r="K1008" i="3"/>
  <c r="K1009" i="3"/>
  <c r="K1011" i="3"/>
  <c r="K1012" i="3"/>
  <c r="K1013" i="3"/>
  <c r="K1015" i="3"/>
  <c r="K1016" i="3"/>
  <c r="K1017" i="3"/>
  <c r="K1019" i="3"/>
  <c r="K1020" i="3"/>
  <c r="K1021" i="3"/>
  <c r="E346" i="24"/>
  <c r="J166" i="23" s="1"/>
  <c r="D346" i="24"/>
  <c r="E345" i="24"/>
  <c r="D345" i="24"/>
  <c r="E344" i="24"/>
  <c r="J165" i="23" s="1"/>
  <c r="L165" i="23" s="1"/>
  <c r="D344" i="24"/>
  <c r="E343" i="24"/>
  <c r="D343" i="24"/>
  <c r="I164" i="23" s="1"/>
  <c r="E342" i="24"/>
  <c r="E341" i="24" s="1"/>
  <c r="D342" i="24"/>
  <c r="I163" i="23" s="1"/>
  <c r="E339" i="24"/>
  <c r="D339" i="24"/>
  <c r="E338" i="24"/>
  <c r="D338" i="24"/>
  <c r="E337" i="24"/>
  <c r="D337" i="24"/>
  <c r="D336" i="24" s="1"/>
  <c r="I158" i="23" s="1"/>
  <c r="E335" i="24"/>
  <c r="E333" i="24" s="1"/>
  <c r="D335" i="24"/>
  <c r="E334" i="24"/>
  <c r="D334" i="24"/>
  <c r="E331" i="24"/>
  <c r="D331" i="24"/>
  <c r="E330" i="24"/>
  <c r="D330" i="24"/>
  <c r="I154" i="23" s="1"/>
  <c r="E329" i="24"/>
  <c r="D329" i="24"/>
  <c r="E328" i="24"/>
  <c r="J152" i="23" s="1"/>
  <c r="L152" i="23" s="1"/>
  <c r="D328" i="24"/>
  <c r="I152" i="23" s="1"/>
  <c r="E326" i="24"/>
  <c r="J153" i="23" s="1"/>
  <c r="D326" i="24"/>
  <c r="I153" i="23" s="1"/>
  <c r="E325" i="24"/>
  <c r="J151" i="23" s="1"/>
  <c r="D325" i="24"/>
  <c r="I151" i="23" s="1"/>
  <c r="E324" i="24"/>
  <c r="J150" i="23" s="1"/>
  <c r="D324" i="24"/>
  <c r="E323" i="24"/>
  <c r="D323" i="24"/>
  <c r="E322" i="24"/>
  <c r="E321" i="24" s="1"/>
  <c r="D322" i="24"/>
  <c r="E320" i="24"/>
  <c r="D320" i="24"/>
  <c r="E319" i="24"/>
  <c r="D319" i="24"/>
  <c r="E316" i="24"/>
  <c r="D316" i="24"/>
  <c r="E315" i="24"/>
  <c r="D315" i="24"/>
  <c r="E314" i="24"/>
  <c r="D314" i="24"/>
  <c r="E312" i="24"/>
  <c r="D312" i="24"/>
  <c r="E311" i="24"/>
  <c r="D311" i="24"/>
  <c r="E310" i="24"/>
  <c r="D310" i="24"/>
  <c r="E309" i="24"/>
  <c r="D309" i="24"/>
  <c r="E308" i="24"/>
  <c r="D308" i="24"/>
  <c r="E306" i="24"/>
  <c r="J147" i="23" s="1"/>
  <c r="D306" i="24"/>
  <c r="I147" i="23" s="1"/>
  <c r="E305" i="24"/>
  <c r="D305" i="24"/>
  <c r="E304" i="24"/>
  <c r="D304" i="24"/>
  <c r="E303" i="24"/>
  <c r="D303" i="24"/>
  <c r="E302" i="24"/>
  <c r="D302" i="24"/>
  <c r="E301" i="24"/>
  <c r="D301" i="24"/>
  <c r="E300" i="24"/>
  <c r="D300" i="24"/>
  <c r="E299" i="24"/>
  <c r="J144" i="23" s="1"/>
  <c r="L144" i="23" s="1"/>
  <c r="D299" i="24"/>
  <c r="I144" i="23" s="1"/>
  <c r="E298" i="24"/>
  <c r="J143" i="23" s="1"/>
  <c r="L143" i="23" s="1"/>
  <c r="D298" i="24"/>
  <c r="I143" i="23" s="1"/>
  <c r="E297" i="24"/>
  <c r="D297" i="24"/>
  <c r="E294" i="24"/>
  <c r="J140" i="23" s="1"/>
  <c r="L140" i="23" s="1"/>
  <c r="D294" i="24"/>
  <c r="I140" i="23" s="1"/>
  <c r="E293" i="24"/>
  <c r="D293" i="24"/>
  <c r="E292" i="24"/>
  <c r="D292" i="24"/>
  <c r="E291" i="24"/>
  <c r="D291" i="24"/>
  <c r="E290" i="24"/>
  <c r="D290" i="24"/>
  <c r="E289" i="24"/>
  <c r="D289" i="24"/>
  <c r="E288" i="24"/>
  <c r="D288" i="24"/>
  <c r="E287" i="24"/>
  <c r="D287" i="24"/>
  <c r="E286" i="24"/>
  <c r="D286" i="24"/>
  <c r="E285" i="24"/>
  <c r="D285" i="24"/>
  <c r="E284" i="24"/>
  <c r="D284" i="24"/>
  <c r="E282" i="24"/>
  <c r="D282" i="24"/>
  <c r="E281" i="24"/>
  <c r="D281" i="24"/>
  <c r="E280" i="24"/>
  <c r="D280" i="24"/>
  <c r="E279" i="24"/>
  <c r="D279" i="24"/>
  <c r="E278" i="24"/>
  <c r="D278" i="24"/>
  <c r="E276" i="24"/>
  <c r="J137" i="23" s="1"/>
  <c r="L137" i="23" s="1"/>
  <c r="D276" i="24"/>
  <c r="I137" i="23" s="1"/>
  <c r="E274" i="24"/>
  <c r="D274" i="24"/>
  <c r="E273" i="24"/>
  <c r="D273" i="24"/>
  <c r="E272" i="24"/>
  <c r="J132" i="23" s="1"/>
  <c r="D272" i="24"/>
  <c r="E270" i="24"/>
  <c r="D270" i="24"/>
  <c r="E269" i="24"/>
  <c r="D269" i="24"/>
  <c r="E268" i="24"/>
  <c r="D268" i="24"/>
  <c r="E267" i="24"/>
  <c r="D267" i="24"/>
  <c r="E266" i="24"/>
  <c r="D266" i="24"/>
  <c r="E264" i="24"/>
  <c r="D264" i="24"/>
  <c r="E262" i="24"/>
  <c r="D262" i="24"/>
  <c r="E261" i="24"/>
  <c r="D261" i="24"/>
  <c r="E260" i="24"/>
  <c r="D260" i="24"/>
  <c r="E259" i="24"/>
  <c r="D259" i="24"/>
  <c r="E258" i="24"/>
  <c r="D258" i="24"/>
  <c r="E256" i="24"/>
  <c r="D256" i="24"/>
  <c r="E255" i="24"/>
  <c r="D255" i="24"/>
  <c r="E254" i="24"/>
  <c r="D254" i="24"/>
  <c r="E253" i="24"/>
  <c r="D253" i="24"/>
  <c r="E252" i="24"/>
  <c r="D252" i="24"/>
  <c r="E251" i="24"/>
  <c r="D251" i="24"/>
  <c r="E250" i="24"/>
  <c r="D250" i="24"/>
  <c r="E249" i="24"/>
  <c r="D249" i="24"/>
  <c r="E247" i="24"/>
  <c r="D247" i="24"/>
  <c r="E246" i="24"/>
  <c r="D246" i="24"/>
  <c r="E245" i="24"/>
  <c r="D245" i="24"/>
  <c r="E244" i="24"/>
  <c r="D244" i="24"/>
  <c r="E243" i="24"/>
  <c r="D243" i="24"/>
  <c r="E242" i="24"/>
  <c r="D242" i="24"/>
  <c r="E241" i="24"/>
  <c r="D241" i="24"/>
  <c r="E239" i="24"/>
  <c r="J125" i="23" s="1"/>
  <c r="L125" i="23" s="1"/>
  <c r="D239" i="24"/>
  <c r="I125" i="23" s="1"/>
  <c r="K125" i="23" s="1"/>
  <c r="E237" i="24"/>
  <c r="J122" i="23" s="1"/>
  <c r="D237" i="24"/>
  <c r="I122" i="23" s="1"/>
  <c r="E236" i="24"/>
  <c r="J121" i="23" s="1"/>
  <c r="L121" i="23" s="1"/>
  <c r="D236" i="24"/>
  <c r="I121" i="23" s="1"/>
  <c r="E235" i="24"/>
  <c r="D235" i="24"/>
  <c r="E234" i="24"/>
  <c r="D234" i="24"/>
  <c r="E233" i="24"/>
  <c r="D233" i="24"/>
  <c r="E231" i="24"/>
  <c r="D231" i="24"/>
  <c r="E230" i="24"/>
  <c r="D230" i="24"/>
  <c r="E229" i="24"/>
  <c r="D229" i="24"/>
  <c r="E228" i="24"/>
  <c r="D228" i="24"/>
  <c r="E227" i="24"/>
  <c r="D227" i="24"/>
  <c r="E225" i="24"/>
  <c r="J118" i="23" s="1"/>
  <c r="D225" i="24"/>
  <c r="I118" i="23" s="1"/>
  <c r="E224" i="24"/>
  <c r="D224" i="24"/>
  <c r="I117" i="23" s="1"/>
  <c r="K117" i="23" s="1"/>
  <c r="L117" i="23" s="1"/>
  <c r="E223" i="24"/>
  <c r="J116" i="23" s="1"/>
  <c r="D223" i="24"/>
  <c r="I116" i="23" s="1"/>
  <c r="E222" i="24"/>
  <c r="J115" i="23" s="1"/>
  <c r="D222" i="24"/>
  <c r="I115" i="23" s="1"/>
  <c r="E221" i="24"/>
  <c r="J114" i="23" s="1"/>
  <c r="D221" i="24"/>
  <c r="I114" i="23" s="1"/>
  <c r="E220" i="24"/>
  <c r="D220" i="24"/>
  <c r="I113" i="23" s="1"/>
  <c r="E219" i="24"/>
  <c r="J112" i="23" s="1"/>
  <c r="D219" i="24"/>
  <c r="I112" i="23" s="1"/>
  <c r="E217" i="24"/>
  <c r="D217" i="24"/>
  <c r="I110" i="23" s="1"/>
  <c r="E215" i="24"/>
  <c r="J108" i="23" s="1"/>
  <c r="D215" i="24"/>
  <c r="I108" i="23" s="1"/>
  <c r="E213" i="24"/>
  <c r="D213" i="24"/>
  <c r="E212" i="24"/>
  <c r="J97" i="23" s="1"/>
  <c r="D212" i="24"/>
  <c r="E211" i="24"/>
  <c r="D211" i="24"/>
  <c r="E210" i="24"/>
  <c r="D210" i="24"/>
  <c r="I95" i="23" s="1"/>
  <c r="E209" i="24"/>
  <c r="D209" i="24"/>
  <c r="E206" i="24"/>
  <c r="D206" i="24"/>
  <c r="E205" i="24"/>
  <c r="D205" i="24"/>
  <c r="E203" i="24"/>
  <c r="D203" i="24"/>
  <c r="E202" i="24"/>
  <c r="D202" i="24"/>
  <c r="E201" i="24"/>
  <c r="E199" i="24"/>
  <c r="J85" i="23" s="1"/>
  <c r="D199" i="24"/>
  <c r="E198" i="24"/>
  <c r="J84" i="23" s="1"/>
  <c r="L84" i="23" s="1"/>
  <c r="D198" i="24"/>
  <c r="I84" i="23" s="1"/>
  <c r="K84" i="23" s="1"/>
  <c r="E197" i="24"/>
  <c r="J83" i="23" s="1"/>
  <c r="D197" i="24"/>
  <c r="I83" i="23" s="1"/>
  <c r="E196" i="24"/>
  <c r="D196" i="24"/>
  <c r="I82" i="23" s="1"/>
  <c r="E194" i="24"/>
  <c r="J80" i="23" s="1"/>
  <c r="D194" i="24"/>
  <c r="I80" i="23" s="1"/>
  <c r="E193" i="24"/>
  <c r="D193" i="24"/>
  <c r="E191" i="24"/>
  <c r="D191" i="24"/>
  <c r="E190" i="24"/>
  <c r="E189" i="24" s="1"/>
  <c r="D190" i="24"/>
  <c r="D189" i="24" s="1"/>
  <c r="E188" i="24"/>
  <c r="D188" i="24"/>
  <c r="E187" i="24"/>
  <c r="E186" i="24" s="1"/>
  <c r="D187" i="24"/>
  <c r="D186" i="24" s="1"/>
  <c r="E185" i="24"/>
  <c r="D185" i="24"/>
  <c r="E184" i="24"/>
  <c r="D184" i="24"/>
  <c r="E183" i="24"/>
  <c r="D183" i="24"/>
  <c r="E182" i="24"/>
  <c r="D182" i="24"/>
  <c r="E180" i="24"/>
  <c r="J76" i="23" s="1"/>
  <c r="D180" i="24"/>
  <c r="I76" i="23" s="1"/>
  <c r="E179" i="24"/>
  <c r="D179" i="24"/>
  <c r="E178" i="24"/>
  <c r="D178" i="24"/>
  <c r="E177" i="24"/>
  <c r="D177" i="24"/>
  <c r="E175" i="24"/>
  <c r="D175" i="24"/>
  <c r="E174" i="24"/>
  <c r="J74" i="23" s="1"/>
  <c r="D174" i="24"/>
  <c r="I74" i="23" s="1"/>
  <c r="E173" i="24"/>
  <c r="D173" i="24"/>
  <c r="E172" i="24"/>
  <c r="D172" i="24"/>
  <c r="E171" i="24"/>
  <c r="D171" i="24"/>
  <c r="E170" i="24"/>
  <c r="D170" i="24"/>
  <c r="E169" i="24"/>
  <c r="D169" i="24"/>
  <c r="E166" i="24"/>
  <c r="J71" i="23" s="1"/>
  <c r="L71" i="23" s="1"/>
  <c r="D166" i="24"/>
  <c r="I71" i="23" s="1"/>
  <c r="E165" i="24"/>
  <c r="D165" i="24"/>
  <c r="E164" i="24"/>
  <c r="D164" i="24"/>
  <c r="E163" i="24"/>
  <c r="D163" i="24"/>
  <c r="I70" i="23" s="1"/>
  <c r="E162" i="24"/>
  <c r="D162" i="24"/>
  <c r="E161" i="24"/>
  <c r="D161" i="24"/>
  <c r="E160" i="24"/>
  <c r="D160" i="24"/>
  <c r="E159" i="24"/>
  <c r="J68" i="23" s="1"/>
  <c r="L68" i="23" s="1"/>
  <c r="D159" i="24"/>
  <c r="I68" i="23" s="1"/>
  <c r="E158" i="24"/>
  <c r="J67" i="23" s="1"/>
  <c r="D158" i="24"/>
  <c r="I67" i="23" s="1"/>
  <c r="E156" i="24"/>
  <c r="D156" i="24"/>
  <c r="E155" i="24"/>
  <c r="J65" i="23" s="1"/>
  <c r="D155" i="24"/>
  <c r="I65" i="23" s="1"/>
  <c r="E154" i="24"/>
  <c r="D154" i="24"/>
  <c r="E153" i="24"/>
  <c r="J64" i="23" s="1"/>
  <c r="D153" i="24"/>
  <c r="I64" i="23" s="1"/>
  <c r="E152" i="24"/>
  <c r="J63" i="23" s="1"/>
  <c r="L63" i="23" s="1"/>
  <c r="D152" i="24"/>
  <c r="I63" i="23" s="1"/>
  <c r="E151" i="24"/>
  <c r="J62" i="23" s="1"/>
  <c r="D151" i="24"/>
  <c r="I62" i="23" s="1"/>
  <c r="E150" i="24"/>
  <c r="D150" i="24"/>
  <c r="E149" i="24"/>
  <c r="D149" i="24"/>
  <c r="E148" i="24"/>
  <c r="D148" i="24"/>
  <c r="E147" i="24"/>
  <c r="D147" i="24"/>
  <c r="E144" i="24"/>
  <c r="J57" i="23" s="1"/>
  <c r="D144" i="24"/>
  <c r="I57" i="23" s="1"/>
  <c r="E143" i="24"/>
  <c r="J56" i="23" s="1"/>
  <c r="D143" i="24"/>
  <c r="I56" i="23" s="1"/>
  <c r="E142" i="24"/>
  <c r="J55" i="23" s="1"/>
  <c r="L55" i="23" s="1"/>
  <c r="D142" i="24"/>
  <c r="I55" i="23" s="1"/>
  <c r="E141" i="24"/>
  <c r="J54" i="23" s="1"/>
  <c r="D141" i="24"/>
  <c r="E140" i="24"/>
  <c r="D140" i="24"/>
  <c r="I53" i="23" s="1"/>
  <c r="E138" i="24"/>
  <c r="J51" i="23" s="1"/>
  <c r="D138" i="24"/>
  <c r="I51" i="23" s="1"/>
  <c r="E137" i="24"/>
  <c r="D137" i="24"/>
  <c r="E136" i="24"/>
  <c r="J50" i="23" s="1"/>
  <c r="D136" i="24"/>
  <c r="I50" i="23" s="1"/>
  <c r="E135" i="24"/>
  <c r="D135" i="24"/>
  <c r="E134" i="24"/>
  <c r="D134" i="24"/>
  <c r="E133" i="24"/>
  <c r="D133" i="24"/>
  <c r="E132" i="24"/>
  <c r="D132" i="24"/>
  <c r="E131" i="24"/>
  <c r="D131" i="24"/>
  <c r="E130" i="24"/>
  <c r="D130" i="24"/>
  <c r="E127" i="24"/>
  <c r="D127" i="24"/>
  <c r="I44" i="23" s="1"/>
  <c r="E126" i="24"/>
  <c r="D126" i="24"/>
  <c r="E125" i="24"/>
  <c r="D125" i="24"/>
  <c r="E124" i="24"/>
  <c r="D124" i="24"/>
  <c r="E123" i="24"/>
  <c r="D123" i="24"/>
  <c r="E122" i="24"/>
  <c r="D122" i="24"/>
  <c r="E121" i="24"/>
  <c r="D121" i="24"/>
  <c r="E119" i="24"/>
  <c r="J43" i="23" s="1"/>
  <c r="L43" i="23" s="1"/>
  <c r="D119" i="24"/>
  <c r="I43" i="23" s="1"/>
  <c r="E118" i="24"/>
  <c r="D118" i="24"/>
  <c r="E117" i="24"/>
  <c r="D117" i="24"/>
  <c r="E116" i="24"/>
  <c r="D116" i="24"/>
  <c r="E115" i="24"/>
  <c r="D115" i="24"/>
  <c r="E114" i="24"/>
  <c r="D114" i="24"/>
  <c r="E113" i="24"/>
  <c r="D113" i="24"/>
  <c r="E112" i="24"/>
  <c r="D112" i="24"/>
  <c r="E111" i="24"/>
  <c r="D111" i="24"/>
  <c r="E107" i="24"/>
  <c r="D107" i="24"/>
  <c r="E106" i="24"/>
  <c r="D106" i="24"/>
  <c r="E105" i="24"/>
  <c r="D105" i="24"/>
  <c r="E104" i="24"/>
  <c r="D104" i="24"/>
  <c r="E102" i="24"/>
  <c r="D102" i="24"/>
  <c r="I35" i="23" s="1"/>
  <c r="E100" i="24"/>
  <c r="J33" i="23" s="1"/>
  <c r="D100" i="24"/>
  <c r="I33" i="23" s="1"/>
  <c r="E99" i="24"/>
  <c r="J32" i="23" s="1"/>
  <c r="L32" i="23" s="1"/>
  <c r="D99" i="24"/>
  <c r="I32" i="23" s="1"/>
  <c r="E98" i="24"/>
  <c r="J31" i="23" s="1"/>
  <c r="D98" i="24"/>
  <c r="I31" i="23" s="1"/>
  <c r="E97" i="24"/>
  <c r="D97" i="24"/>
  <c r="E94" i="24"/>
  <c r="D94" i="24"/>
  <c r="E93" i="24"/>
  <c r="D93" i="24"/>
  <c r="E92" i="24"/>
  <c r="D92" i="24"/>
  <c r="E91" i="24"/>
  <c r="D91" i="24"/>
  <c r="E90" i="24"/>
  <c r="D90" i="24"/>
  <c r="E89" i="24"/>
  <c r="D89" i="24"/>
  <c r="E88" i="24"/>
  <c r="D88" i="24"/>
  <c r="E87" i="24"/>
  <c r="D87" i="24"/>
  <c r="E85" i="24"/>
  <c r="J26" i="23" s="1"/>
  <c r="D85" i="24"/>
  <c r="I26" i="23" s="1"/>
  <c r="E84" i="24"/>
  <c r="D84" i="24"/>
  <c r="E83" i="24"/>
  <c r="D83" i="24"/>
  <c r="E81" i="24"/>
  <c r="D81" i="24"/>
  <c r="E80" i="24"/>
  <c r="D80" i="24"/>
  <c r="E79" i="24"/>
  <c r="D79" i="24"/>
  <c r="E77" i="24"/>
  <c r="D77" i="24"/>
  <c r="E76" i="24"/>
  <c r="D76" i="24"/>
  <c r="E74" i="24"/>
  <c r="D74" i="24"/>
  <c r="E73" i="24"/>
  <c r="D73" i="24"/>
  <c r="E71" i="24"/>
  <c r="D71" i="24"/>
  <c r="E70" i="24"/>
  <c r="D70" i="24"/>
  <c r="E69" i="24"/>
  <c r="E68" i="24"/>
  <c r="D68" i="24"/>
  <c r="E67" i="24"/>
  <c r="D67" i="24"/>
  <c r="E65" i="24"/>
  <c r="D65" i="24"/>
  <c r="E64" i="24"/>
  <c r="D64" i="24"/>
  <c r="E61" i="24"/>
  <c r="D61" i="24"/>
  <c r="E60" i="24"/>
  <c r="D60" i="24"/>
  <c r="I15" i="23" s="1"/>
  <c r="E57" i="24"/>
  <c r="D57" i="24"/>
  <c r="E56" i="24"/>
  <c r="D56" i="24"/>
  <c r="E55" i="24"/>
  <c r="D55" i="24"/>
  <c r="E54" i="24"/>
  <c r="D54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3" i="24"/>
  <c r="J11" i="23" s="1"/>
  <c r="L11" i="23" s="1"/>
  <c r="D43" i="24"/>
  <c r="E42" i="24"/>
  <c r="D42" i="24"/>
  <c r="E41" i="24"/>
  <c r="D41" i="24"/>
  <c r="E40" i="24"/>
  <c r="D40" i="24"/>
  <c r="E39" i="24"/>
  <c r="D39" i="24"/>
  <c r="E37" i="24"/>
  <c r="D37" i="24"/>
  <c r="E36" i="24"/>
  <c r="D36" i="24"/>
  <c r="E34" i="24"/>
  <c r="D34" i="24"/>
  <c r="D32" i="24" s="1"/>
  <c r="J33" i="24"/>
  <c r="E33" i="24"/>
  <c r="D33" i="24"/>
  <c r="I165" i="23"/>
  <c r="J164" i="23"/>
  <c r="L160" i="23"/>
  <c r="K160" i="23"/>
  <c r="L156" i="23"/>
  <c r="K156" i="23"/>
  <c r="I150" i="23"/>
  <c r="L136" i="23"/>
  <c r="K136" i="23"/>
  <c r="L135" i="23"/>
  <c r="K135" i="23"/>
  <c r="I132" i="23"/>
  <c r="L131" i="23"/>
  <c r="K131" i="23"/>
  <c r="L124" i="23"/>
  <c r="K124" i="23"/>
  <c r="J117" i="23"/>
  <c r="J113" i="23"/>
  <c r="J110" i="23"/>
  <c r="J96" i="23"/>
  <c r="L96" i="23" s="1"/>
  <c r="I96" i="23"/>
  <c r="J95" i="23"/>
  <c r="L95" i="23" s="1"/>
  <c r="L87" i="23"/>
  <c r="K87" i="23"/>
  <c r="I85" i="23"/>
  <c r="J82" i="23"/>
  <c r="J70" i="23"/>
  <c r="J53" i="23"/>
  <c r="L53" i="23" s="1"/>
  <c r="L45" i="23"/>
  <c r="K45" i="23"/>
  <c r="J44" i="23"/>
  <c r="J35" i="23"/>
  <c r="H29" i="23"/>
  <c r="H28" i="23" s="1"/>
  <c r="G29" i="23"/>
  <c r="G28" i="23" s="1"/>
  <c r="L27" i="23"/>
  <c r="K27" i="23"/>
  <c r="J16" i="23"/>
  <c r="L16" i="23" s="1"/>
  <c r="I16" i="23"/>
  <c r="J15" i="23"/>
  <c r="L15" i="23" s="1"/>
  <c r="I11" i="23"/>
  <c r="D413" i="4"/>
  <c r="G58" i="23" l="1"/>
  <c r="E35" i="24"/>
  <c r="E265" i="24"/>
  <c r="E263" i="24" s="1"/>
  <c r="J129" i="23" s="1"/>
  <c r="J133" i="23"/>
  <c r="L133" i="23" s="1"/>
  <c r="E277" i="24"/>
  <c r="J138" i="23" s="1"/>
  <c r="L138" i="23" s="1"/>
  <c r="J145" i="23"/>
  <c r="G47" i="23"/>
  <c r="G46" i="23"/>
  <c r="J24" i="23"/>
  <c r="L24" i="23" s="1"/>
  <c r="K95" i="23"/>
  <c r="H46" i="23"/>
  <c r="K80" i="23"/>
  <c r="K44" i="23"/>
  <c r="D265" i="24"/>
  <c r="D263" i="24" s="1"/>
  <c r="I129" i="23" s="1"/>
  <c r="D318" i="24"/>
  <c r="J154" i="23"/>
  <c r="K154" i="23" s="1"/>
  <c r="L154" i="23" s="1"/>
  <c r="J142" i="23"/>
  <c r="J20" i="23"/>
  <c r="D218" i="24"/>
  <c r="D216" i="24" s="1"/>
  <c r="L164" i="23"/>
  <c r="E181" i="24"/>
  <c r="J77" i="23" s="1"/>
  <c r="J9" i="23"/>
  <c r="L9" i="23" s="1"/>
  <c r="E53" i="24"/>
  <c r="D78" i="24"/>
  <c r="I23" i="23" s="1"/>
  <c r="K32" i="23"/>
  <c r="K57" i="23"/>
  <c r="L57" i="23" s="1"/>
  <c r="K165" i="23"/>
  <c r="E32" i="24"/>
  <c r="J8" i="23" s="1"/>
  <c r="L8" i="23" s="1"/>
  <c r="D38" i="24"/>
  <c r="I10" i="23" s="1"/>
  <c r="E78" i="24"/>
  <c r="J23" i="23" s="1"/>
  <c r="L150" i="23"/>
  <c r="K140" i="23"/>
  <c r="J163" i="23"/>
  <c r="D82" i="24"/>
  <c r="I25" i="23" s="1"/>
  <c r="D86" i="24"/>
  <c r="E257" i="24"/>
  <c r="J128" i="23" s="1"/>
  <c r="E313" i="24"/>
  <c r="J148" i="23" s="1"/>
  <c r="D321" i="24"/>
  <c r="D317" i="24" s="1"/>
  <c r="I149" i="23" s="1"/>
  <c r="E336" i="24"/>
  <c r="J158" i="23" s="1"/>
  <c r="L158" i="23" s="1"/>
  <c r="K113" i="23"/>
  <c r="L113" i="23" s="1"/>
  <c r="K118" i="23"/>
  <c r="L118" i="23" s="1"/>
  <c r="K132" i="23"/>
  <c r="L132" i="23" s="1"/>
  <c r="K137" i="23"/>
  <c r="K150" i="23"/>
  <c r="K15" i="23"/>
  <c r="K50" i="23"/>
  <c r="L50" i="23" s="1"/>
  <c r="K65" i="23"/>
  <c r="L65" i="23" s="1"/>
  <c r="E157" i="24"/>
  <c r="I166" i="23"/>
  <c r="K166" i="23" s="1"/>
  <c r="L166" i="23" s="1"/>
  <c r="K33" i="23"/>
  <c r="L33" i="23" s="1"/>
  <c r="K53" i="23"/>
  <c r="I24" i="23"/>
  <c r="K24" i="23" s="1"/>
  <c r="K85" i="23"/>
  <c r="L85" i="23" s="1"/>
  <c r="D66" i="24"/>
  <c r="I19" i="23" s="1"/>
  <c r="I69" i="23"/>
  <c r="I66" i="23" s="1"/>
  <c r="K11" i="23"/>
  <c r="K96" i="23"/>
  <c r="E59" i="24"/>
  <c r="D75" i="24"/>
  <c r="I22" i="23" s="1"/>
  <c r="K43" i="23"/>
  <c r="I49" i="23"/>
  <c r="I48" i="23" s="1"/>
  <c r="K51" i="23"/>
  <c r="L51" i="23" s="1"/>
  <c r="I61" i="23"/>
  <c r="K64" i="23"/>
  <c r="L64" i="23" s="1"/>
  <c r="J69" i="23"/>
  <c r="L69" i="23" s="1"/>
  <c r="K31" i="23"/>
  <c r="L31" i="23"/>
  <c r="K76" i="23"/>
  <c r="L76" i="23"/>
  <c r="K63" i="23"/>
  <c r="K153" i="23"/>
  <c r="L80" i="23"/>
  <c r="D63" i="24"/>
  <c r="D69" i="24"/>
  <c r="I20" i="23" s="1"/>
  <c r="K20" i="23" s="1"/>
  <c r="L20" i="23" s="1"/>
  <c r="D120" i="24"/>
  <c r="I42" i="23" s="1"/>
  <c r="J61" i="23"/>
  <c r="K71" i="23"/>
  <c r="D181" i="24"/>
  <c r="I77" i="23" s="1"/>
  <c r="E195" i="24"/>
  <c r="D201" i="24"/>
  <c r="I88" i="23" s="1"/>
  <c r="I97" i="23"/>
  <c r="K97" i="23" s="1"/>
  <c r="L97" i="23" s="1"/>
  <c r="E232" i="24"/>
  <c r="J120" i="23" s="1"/>
  <c r="L120" i="23" s="1"/>
  <c r="E283" i="24"/>
  <c r="J139" i="23" s="1"/>
  <c r="L139" i="23" s="1"/>
  <c r="I14" i="23"/>
  <c r="K152" i="23"/>
  <c r="E44" i="24"/>
  <c r="J12" i="23" s="1"/>
  <c r="D53" i="24"/>
  <c r="E63" i="24"/>
  <c r="E103" i="24"/>
  <c r="J36" i="23" s="1"/>
  <c r="E120" i="24"/>
  <c r="J42" i="23" s="1"/>
  <c r="E176" i="24"/>
  <c r="J75" i="23" s="1"/>
  <c r="D226" i="24"/>
  <c r="I119" i="23" s="1"/>
  <c r="J49" i="23"/>
  <c r="J48" i="23" s="1"/>
  <c r="J81" i="23"/>
  <c r="K121" i="23"/>
  <c r="D168" i="24"/>
  <c r="D167" i="24" s="1"/>
  <c r="E226" i="24"/>
  <c r="J119" i="23" s="1"/>
  <c r="E248" i="24"/>
  <c r="J127" i="23" s="1"/>
  <c r="D257" i="24"/>
  <c r="I128" i="23" s="1"/>
  <c r="K128" i="23" s="1"/>
  <c r="L128" i="23" s="1"/>
  <c r="E307" i="24"/>
  <c r="J146" i="23" s="1"/>
  <c r="D313" i="24"/>
  <c r="I148" i="23" s="1"/>
  <c r="E327" i="24"/>
  <c r="D333" i="24"/>
  <c r="D332" i="24" s="1"/>
  <c r="L44" i="23"/>
  <c r="E38" i="24"/>
  <c r="J10" i="23" s="1"/>
  <c r="L10" i="23" s="1"/>
  <c r="D59" i="24"/>
  <c r="E75" i="24"/>
  <c r="J22" i="23" s="1"/>
  <c r="E168" i="24"/>
  <c r="D277" i="24"/>
  <c r="I138" i="23" s="1"/>
  <c r="K138" i="23" s="1"/>
  <c r="E318" i="24"/>
  <c r="E317" i="24" s="1"/>
  <c r="J149" i="23" s="1"/>
  <c r="K16" i="23"/>
  <c r="K68" i="23"/>
  <c r="E66" i="24"/>
  <c r="J19" i="23" s="1"/>
  <c r="D72" i="24"/>
  <c r="I21" i="23" s="1"/>
  <c r="E86" i="24"/>
  <c r="E96" i="24"/>
  <c r="D110" i="24"/>
  <c r="I41" i="23" s="1"/>
  <c r="E139" i="24"/>
  <c r="E129" i="24" s="1"/>
  <c r="E146" i="24"/>
  <c r="E218" i="24"/>
  <c r="E216" i="24" s="1"/>
  <c r="E214" i="24" s="1"/>
  <c r="E240" i="24"/>
  <c r="J126" i="23" s="1"/>
  <c r="D271" i="24"/>
  <c r="E296" i="24"/>
  <c r="D341" i="24"/>
  <c r="J52" i="23"/>
  <c r="K122" i="23"/>
  <c r="L122" i="23" s="1"/>
  <c r="E72" i="24"/>
  <c r="J21" i="23" s="1"/>
  <c r="E82" i="24"/>
  <c r="J25" i="23" s="1"/>
  <c r="K55" i="23"/>
  <c r="E204" i="24"/>
  <c r="J89" i="23" s="1"/>
  <c r="K115" i="23"/>
  <c r="L115" i="23" s="1"/>
  <c r="E271" i="24"/>
  <c r="D283" i="24"/>
  <c r="I139" i="23" s="1"/>
  <c r="K143" i="23"/>
  <c r="I145" i="23"/>
  <c r="K147" i="23"/>
  <c r="L147" i="23" s="1"/>
  <c r="K151" i="23"/>
  <c r="K158" i="23"/>
  <c r="J141" i="23"/>
  <c r="E167" i="24"/>
  <c r="J73" i="23"/>
  <c r="D208" i="24"/>
  <c r="I94" i="23"/>
  <c r="D296" i="24"/>
  <c r="J14" i="23"/>
  <c r="K56" i="23"/>
  <c r="K62" i="23"/>
  <c r="K70" i="23"/>
  <c r="K74" i="23"/>
  <c r="L74" i="23" s="1"/>
  <c r="J167" i="23"/>
  <c r="D44" i="24"/>
  <c r="I12" i="23" s="1"/>
  <c r="K35" i="23"/>
  <c r="L35" i="23" s="1"/>
  <c r="E208" i="24"/>
  <c r="J94" i="23"/>
  <c r="D232" i="24"/>
  <c r="I120" i="23" s="1"/>
  <c r="D327" i="24"/>
  <c r="L56" i="23"/>
  <c r="L62" i="23"/>
  <c r="L70" i="23"/>
  <c r="I111" i="23"/>
  <c r="K112" i="23"/>
  <c r="L112" i="23" s="1"/>
  <c r="D35" i="24"/>
  <c r="I9" i="23" s="1"/>
  <c r="K9" i="23" s="1"/>
  <c r="D192" i="24"/>
  <c r="I79" i="23"/>
  <c r="J157" i="23"/>
  <c r="J30" i="23"/>
  <c r="J111" i="23"/>
  <c r="K116" i="23"/>
  <c r="L116" i="23" s="1"/>
  <c r="K144" i="23"/>
  <c r="K164" i="23"/>
  <c r="I60" i="23"/>
  <c r="D157" i="24"/>
  <c r="E192" i="24"/>
  <c r="J79" i="23"/>
  <c r="K83" i="23"/>
  <c r="L83" i="23" s="1"/>
  <c r="I81" i="23"/>
  <c r="K108" i="23"/>
  <c r="L108" i="23" s="1"/>
  <c r="I54" i="23"/>
  <c r="K54" i="23" s="1"/>
  <c r="L54" i="23" s="1"/>
  <c r="D139" i="24"/>
  <c r="D129" i="24" s="1"/>
  <c r="D204" i="24"/>
  <c r="I89" i="23" s="1"/>
  <c r="D248" i="24"/>
  <c r="I127" i="23" s="1"/>
  <c r="D307" i="24"/>
  <c r="I146" i="23" s="1"/>
  <c r="J134" i="23"/>
  <c r="D103" i="24"/>
  <c r="K67" i="23"/>
  <c r="D176" i="24"/>
  <c r="I75" i="23" s="1"/>
  <c r="I8" i="23"/>
  <c r="D146" i="24"/>
  <c r="D195" i="24"/>
  <c r="D240" i="24"/>
  <c r="K26" i="23"/>
  <c r="L26" i="23" s="1"/>
  <c r="K82" i="23"/>
  <c r="L82" i="23" s="1"/>
  <c r="K110" i="23"/>
  <c r="L110" i="23" s="1"/>
  <c r="K114" i="23"/>
  <c r="L114" i="23" s="1"/>
  <c r="I133" i="23"/>
  <c r="I142" i="23"/>
  <c r="I30" i="23"/>
  <c r="D96" i="24"/>
  <c r="E110" i="24"/>
  <c r="E200" i="24"/>
  <c r="J88" i="23"/>
  <c r="I167" i="23"/>
  <c r="E585" i="4"/>
  <c r="E117" i="1" s="1"/>
  <c r="E584" i="4"/>
  <c r="D584" i="4"/>
  <c r="E583" i="4"/>
  <c r="D583" i="4"/>
  <c r="E581" i="4"/>
  <c r="E115" i="1" s="1"/>
  <c r="D581" i="4"/>
  <c r="E580" i="4"/>
  <c r="E114" i="1" s="1"/>
  <c r="D580" i="4"/>
  <c r="D579" i="4"/>
  <c r="E578" i="4"/>
  <c r="E112" i="1" s="1"/>
  <c r="D578" i="4"/>
  <c r="E573" i="4"/>
  <c r="D573" i="4"/>
  <c r="E572" i="4"/>
  <c r="D572" i="4"/>
  <c r="E571" i="4"/>
  <c r="D571" i="4"/>
  <c r="E570" i="4"/>
  <c r="D570" i="4"/>
  <c r="D569" i="4"/>
  <c r="E568" i="4"/>
  <c r="D568" i="4"/>
  <c r="E567" i="4"/>
  <c r="D567" i="4"/>
  <c r="E566" i="4"/>
  <c r="D566" i="4"/>
  <c r="E564" i="4"/>
  <c r="D564" i="4"/>
  <c r="E563" i="4"/>
  <c r="D563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D555" i="4"/>
  <c r="D554" i="4"/>
  <c r="E552" i="4"/>
  <c r="D552" i="4"/>
  <c r="D550" i="4"/>
  <c r="D549" i="4"/>
  <c r="E546" i="4"/>
  <c r="D546" i="4"/>
  <c r="E545" i="4"/>
  <c r="D545" i="4"/>
  <c r="E543" i="4"/>
  <c r="E104" i="1" s="1"/>
  <c r="D543" i="4"/>
  <c r="E513" i="4"/>
  <c r="E96" i="1" s="1"/>
  <c r="D513" i="4"/>
  <c r="E509" i="4"/>
  <c r="D509" i="4"/>
  <c r="E508" i="4"/>
  <c r="D508" i="4"/>
  <c r="E505" i="4"/>
  <c r="D505" i="4"/>
  <c r="D504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79" i="4"/>
  <c r="D479" i="4"/>
  <c r="E477" i="4"/>
  <c r="D477" i="4"/>
  <c r="E476" i="4"/>
  <c r="D476" i="4"/>
  <c r="E475" i="4"/>
  <c r="D475" i="4"/>
  <c r="D474" i="4"/>
  <c r="E471" i="4"/>
  <c r="D471" i="4"/>
  <c r="E469" i="4"/>
  <c r="D469" i="4"/>
  <c r="E468" i="4"/>
  <c r="D468" i="4"/>
  <c r="D467" i="4"/>
  <c r="E466" i="4"/>
  <c r="D466" i="4"/>
  <c r="E465" i="4"/>
  <c r="D465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1" i="4"/>
  <c r="D441" i="4"/>
  <c r="E440" i="4"/>
  <c r="D435" i="4"/>
  <c r="E434" i="4"/>
  <c r="D434" i="4"/>
  <c r="E430" i="4"/>
  <c r="D430" i="4"/>
  <c r="E427" i="4"/>
  <c r="D427" i="4"/>
  <c r="E423" i="4"/>
  <c r="D423" i="4"/>
  <c r="E418" i="4"/>
  <c r="D418" i="4"/>
  <c r="E414" i="4"/>
  <c r="D414" i="4"/>
  <c r="E409" i="4"/>
  <c r="D409" i="4"/>
  <c r="E405" i="4"/>
  <c r="D405" i="4"/>
  <c r="E400" i="4"/>
  <c r="D400" i="4"/>
  <c r="E396" i="4"/>
  <c r="D396" i="4"/>
  <c r="E392" i="4"/>
  <c r="D392" i="4"/>
  <c r="E385" i="4"/>
  <c r="D385" i="4"/>
  <c r="E384" i="4"/>
  <c r="D384" i="4"/>
  <c r="E379" i="4"/>
  <c r="D379" i="4"/>
  <c r="E375" i="4"/>
  <c r="D375" i="4"/>
  <c r="E373" i="4"/>
  <c r="D373" i="4"/>
  <c r="E372" i="4"/>
  <c r="D372" i="4"/>
  <c r="E371" i="4"/>
  <c r="D371" i="4"/>
  <c r="E369" i="4"/>
  <c r="D369" i="4"/>
  <c r="E367" i="4"/>
  <c r="D367" i="4"/>
  <c r="E366" i="4"/>
  <c r="D366" i="4"/>
  <c r="E364" i="4"/>
  <c r="D364" i="4"/>
  <c r="E363" i="4"/>
  <c r="D363" i="4"/>
  <c r="E362" i="4"/>
  <c r="D362" i="4"/>
  <c r="E360" i="4"/>
  <c r="D360" i="4"/>
  <c r="E358" i="4"/>
  <c r="D358" i="4"/>
  <c r="E357" i="4"/>
  <c r="D357" i="4"/>
  <c r="E356" i="4"/>
  <c r="D356" i="4"/>
  <c r="D353" i="4"/>
  <c r="E352" i="4"/>
  <c r="D352" i="4"/>
  <c r="E348" i="4"/>
  <c r="D348" i="4"/>
  <c r="E346" i="4"/>
  <c r="D346" i="4"/>
  <c r="E345" i="4"/>
  <c r="D345" i="4"/>
  <c r="E342" i="4"/>
  <c r="D342" i="4"/>
  <c r="E340" i="4"/>
  <c r="D340" i="4"/>
  <c r="E339" i="4"/>
  <c r="D339" i="4"/>
  <c r="E337" i="4"/>
  <c r="D337" i="4"/>
  <c r="E336" i="4"/>
  <c r="D336" i="4"/>
  <c r="E335" i="4"/>
  <c r="D335" i="4"/>
  <c r="E333" i="4"/>
  <c r="D333" i="4"/>
  <c r="E332" i="4"/>
  <c r="D332" i="4"/>
  <c r="E329" i="4"/>
  <c r="E58" i="1" s="1"/>
  <c r="D329" i="4"/>
  <c r="E328" i="4"/>
  <c r="D328" i="4"/>
  <c r="E327" i="4"/>
  <c r="D327" i="4"/>
  <c r="E326" i="4"/>
  <c r="D326" i="4"/>
  <c r="E324" i="4"/>
  <c r="D324" i="4"/>
  <c r="E323" i="4"/>
  <c r="D323" i="4"/>
  <c r="E322" i="4"/>
  <c r="D322" i="4"/>
  <c r="E320" i="4"/>
  <c r="D320" i="4"/>
  <c r="E319" i="4"/>
  <c r="D319" i="4"/>
  <c r="E318" i="4"/>
  <c r="D318" i="4"/>
  <c r="E315" i="4"/>
  <c r="D315" i="4"/>
  <c r="E311" i="4"/>
  <c r="D311" i="4"/>
  <c r="E309" i="4"/>
  <c r="D309" i="4"/>
  <c r="E308" i="4"/>
  <c r="D308" i="4"/>
  <c r="E306" i="4"/>
  <c r="D306" i="4"/>
  <c r="E303" i="4"/>
  <c r="D303" i="4"/>
  <c r="E302" i="4"/>
  <c r="D302" i="4"/>
  <c r="E301" i="4"/>
  <c r="D301" i="4"/>
  <c r="E300" i="4"/>
  <c r="D300" i="4"/>
  <c r="E294" i="4"/>
  <c r="D294" i="4"/>
  <c r="E293" i="4"/>
  <c r="D293" i="4"/>
  <c r="E292" i="4"/>
  <c r="D292" i="4"/>
  <c r="E287" i="4"/>
  <c r="D287" i="4"/>
  <c r="E285" i="4"/>
  <c r="D285" i="4"/>
  <c r="E284" i="4"/>
  <c r="D284" i="4"/>
  <c r="E280" i="4"/>
  <c r="D280" i="4"/>
  <c r="E279" i="4"/>
  <c r="D279" i="4"/>
  <c r="E278" i="4"/>
  <c r="D278" i="4"/>
  <c r="E276" i="4"/>
  <c r="D276" i="4"/>
  <c r="E275" i="4"/>
  <c r="D275" i="4"/>
  <c r="E274" i="4"/>
  <c r="D274" i="4"/>
  <c r="E273" i="4"/>
  <c r="D273" i="4"/>
  <c r="E272" i="4"/>
  <c r="D272" i="4"/>
  <c r="E270" i="4"/>
  <c r="D270" i="4"/>
  <c r="E269" i="4"/>
  <c r="D269" i="4"/>
  <c r="E268" i="4"/>
  <c r="D268" i="4"/>
  <c r="E267" i="4"/>
  <c r="D267" i="4"/>
  <c r="E266" i="4"/>
  <c r="D266" i="4"/>
  <c r="E263" i="4"/>
  <c r="D263" i="4"/>
  <c r="E262" i="4"/>
  <c r="D262" i="4"/>
  <c r="E261" i="4"/>
  <c r="D261" i="4"/>
  <c r="E260" i="4"/>
  <c r="D260" i="4"/>
  <c r="E259" i="4"/>
  <c r="D259" i="4"/>
  <c r="E257" i="4"/>
  <c r="D257" i="4"/>
  <c r="E256" i="4"/>
  <c r="D256" i="4"/>
  <c r="E255" i="4"/>
  <c r="D255" i="4"/>
  <c r="E254" i="4"/>
  <c r="D254" i="4"/>
  <c r="E253" i="4"/>
  <c r="D253" i="4"/>
  <c r="E251" i="4"/>
  <c r="D251" i="4"/>
  <c r="E250" i="4"/>
  <c r="D250" i="4"/>
  <c r="E246" i="4"/>
  <c r="D246" i="4"/>
  <c r="E245" i="4"/>
  <c r="D245" i="4"/>
  <c r="E244" i="4"/>
  <c r="D244" i="4"/>
  <c r="E241" i="4"/>
  <c r="D241" i="4"/>
  <c r="E240" i="4"/>
  <c r="D240" i="4"/>
  <c r="E239" i="4"/>
  <c r="D239" i="4"/>
  <c r="E235" i="4"/>
  <c r="D235" i="4"/>
  <c r="E234" i="4"/>
  <c r="D234" i="4"/>
  <c r="E233" i="4"/>
  <c r="D233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19" i="4"/>
  <c r="D219" i="4"/>
  <c r="E218" i="4"/>
  <c r="D218" i="4"/>
  <c r="E217" i="4"/>
  <c r="D217" i="4"/>
  <c r="E216" i="4"/>
  <c r="D216" i="4"/>
  <c r="E215" i="4"/>
  <c r="D215" i="4"/>
  <c r="E212" i="4"/>
  <c r="D212" i="4"/>
  <c r="E211" i="4"/>
  <c r="D211" i="4"/>
  <c r="E208" i="4"/>
  <c r="D208" i="4"/>
  <c r="E207" i="4"/>
  <c r="D207" i="4"/>
  <c r="E190" i="4"/>
  <c r="D190" i="4"/>
  <c r="E189" i="4"/>
  <c r="D189" i="4"/>
  <c r="E188" i="4"/>
  <c r="D188" i="4"/>
  <c r="E187" i="4"/>
  <c r="D187" i="4"/>
  <c r="E186" i="4"/>
  <c r="D186" i="4"/>
  <c r="E173" i="4"/>
  <c r="D173" i="4"/>
  <c r="E172" i="4"/>
  <c r="D172" i="4"/>
  <c r="E171" i="4"/>
  <c r="D171" i="4"/>
  <c r="E169" i="4"/>
  <c r="D169" i="4"/>
  <c r="E168" i="4"/>
  <c r="D168" i="4"/>
  <c r="E167" i="4"/>
  <c r="D167" i="4"/>
  <c r="E165" i="4"/>
  <c r="D165" i="4"/>
  <c r="E569" i="4"/>
  <c r="E561" i="4"/>
  <c r="E353" i="4"/>
  <c r="E554" i="4"/>
  <c r="E474" i="4"/>
  <c r="E435" i="4"/>
  <c r="E541" i="4"/>
  <c r="K270" i="2"/>
  <c r="D541" i="4" s="1"/>
  <c r="E540" i="4"/>
  <c r="K269" i="2"/>
  <c r="D540" i="4" s="1"/>
  <c r="E539" i="4"/>
  <c r="K268" i="2"/>
  <c r="D539" i="4" s="1"/>
  <c r="E538" i="4"/>
  <c r="K267" i="2"/>
  <c r="D538" i="4" s="1"/>
  <c r="E537" i="4"/>
  <c r="K266" i="2"/>
  <c r="D537" i="4" s="1"/>
  <c r="E536" i="4"/>
  <c r="K265" i="2"/>
  <c r="D536" i="4" s="1"/>
  <c r="E535" i="4"/>
  <c r="K264" i="2"/>
  <c r="D535" i="4" s="1"/>
  <c r="E534" i="4"/>
  <c r="K263" i="2"/>
  <c r="D534" i="4" s="1"/>
  <c r="E532" i="4"/>
  <c r="K261" i="2"/>
  <c r="D532" i="4" s="1"/>
  <c r="E530" i="4"/>
  <c r="K259" i="2"/>
  <c r="D530" i="4" s="1"/>
  <c r="E529" i="4"/>
  <c r="K258" i="2"/>
  <c r="D529" i="4" s="1"/>
  <c r="E528" i="4"/>
  <c r="K257" i="2"/>
  <c r="D528" i="4" s="1"/>
  <c r="E527" i="4"/>
  <c r="K256" i="2"/>
  <c r="D527" i="4" s="1"/>
  <c r="E526" i="4"/>
  <c r="K255" i="2"/>
  <c r="D526" i="4" s="1"/>
  <c r="E525" i="4"/>
  <c r="K254" i="2"/>
  <c r="D525" i="4" s="1"/>
  <c r="E524" i="4"/>
  <c r="K253" i="2"/>
  <c r="D524" i="4" s="1"/>
  <c r="E522" i="4"/>
  <c r="K251" i="2"/>
  <c r="D522" i="4" s="1"/>
  <c r="E521" i="4"/>
  <c r="K250" i="2"/>
  <c r="D521" i="4" s="1"/>
  <c r="E519" i="4"/>
  <c r="K248" i="2"/>
  <c r="D519" i="4" s="1"/>
  <c r="E517" i="4"/>
  <c r="E101" i="1" s="1"/>
  <c r="K246" i="2"/>
  <c r="D517" i="4" s="1"/>
  <c r="E512" i="4"/>
  <c r="E95" i="1" s="1"/>
  <c r="K244" i="2"/>
  <c r="D512" i="4" s="1"/>
  <c r="E502" i="4"/>
  <c r="K243" i="2"/>
  <c r="D502" i="4" s="1"/>
  <c r="E501" i="4"/>
  <c r="K242" i="2"/>
  <c r="D501" i="4" s="1"/>
  <c r="E500" i="4"/>
  <c r="K241" i="2"/>
  <c r="D500" i="4" s="1"/>
  <c r="E499" i="4"/>
  <c r="K240" i="2"/>
  <c r="D499" i="4" s="1"/>
  <c r="E498" i="4"/>
  <c r="K239" i="2"/>
  <c r="D498" i="4" s="1"/>
  <c r="K237" i="2"/>
  <c r="K236" i="2"/>
  <c r="K235" i="2"/>
  <c r="K233" i="2"/>
  <c r="K232" i="2"/>
  <c r="E494" i="4"/>
  <c r="K230" i="2"/>
  <c r="D494" i="4" s="1"/>
  <c r="K228" i="2"/>
  <c r="K227" i="2"/>
  <c r="K226" i="2"/>
  <c r="K224" i="2"/>
  <c r="K223" i="2"/>
  <c r="K222" i="2"/>
  <c r="K220" i="2"/>
  <c r="K219" i="2"/>
  <c r="K218" i="2"/>
  <c r="E153" i="4"/>
  <c r="E33" i="1" s="1"/>
  <c r="K215" i="2"/>
  <c r="D153" i="4" s="1"/>
  <c r="E152" i="4"/>
  <c r="K214" i="2"/>
  <c r="D152" i="4" s="1"/>
  <c r="E151" i="4"/>
  <c r="K213" i="2"/>
  <c r="D151" i="4" s="1"/>
  <c r="E150" i="4"/>
  <c r="K212" i="2"/>
  <c r="D150" i="4" s="1"/>
  <c r="E149" i="4"/>
  <c r="K211" i="2"/>
  <c r="D149" i="4" s="1"/>
  <c r="E148" i="4"/>
  <c r="K210" i="2"/>
  <c r="D148" i="4" s="1"/>
  <c r="E147" i="4"/>
  <c r="K209" i="2"/>
  <c r="D147" i="4" s="1"/>
  <c r="E145" i="4"/>
  <c r="K207" i="2"/>
  <c r="D145" i="4" s="1"/>
  <c r="E144" i="4"/>
  <c r="K206" i="2"/>
  <c r="D144" i="4" s="1"/>
  <c r="E143" i="4"/>
  <c r="K205" i="2"/>
  <c r="D143" i="4" s="1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E140" i="4"/>
  <c r="K189" i="2"/>
  <c r="D140" i="4" s="1"/>
  <c r="E139" i="4"/>
  <c r="K188" i="2"/>
  <c r="D139" i="4" s="1"/>
  <c r="E138" i="4"/>
  <c r="K187" i="2"/>
  <c r="D138" i="4" s="1"/>
  <c r="E137" i="4"/>
  <c r="K186" i="2"/>
  <c r="D137" i="4" s="1"/>
  <c r="K183" i="2"/>
  <c r="K182" i="2"/>
  <c r="K181" i="2"/>
  <c r="K180" i="2"/>
  <c r="K179" i="2"/>
  <c r="K178" i="2"/>
  <c r="E133" i="4"/>
  <c r="K176" i="2"/>
  <c r="D133" i="4" s="1"/>
  <c r="E132" i="4"/>
  <c r="K175" i="2"/>
  <c r="D132" i="4" s="1"/>
  <c r="E130" i="4"/>
  <c r="K173" i="2"/>
  <c r="D130" i="4" s="1"/>
  <c r="K172" i="2"/>
  <c r="K171" i="2"/>
  <c r="K170" i="2"/>
  <c r="E128" i="4"/>
  <c r="K168" i="2"/>
  <c r="D128" i="4" s="1"/>
  <c r="E127" i="4"/>
  <c r="K167" i="2"/>
  <c r="D127" i="4" s="1"/>
  <c r="E125" i="4"/>
  <c r="K165" i="2"/>
  <c r="D125" i="4" s="1"/>
  <c r="E124" i="4"/>
  <c r="K164" i="2"/>
  <c r="D124" i="4" s="1"/>
  <c r="E122" i="4"/>
  <c r="K162" i="2"/>
  <c r="D122" i="4" s="1"/>
  <c r="E120" i="4"/>
  <c r="K160" i="2"/>
  <c r="D120" i="4" s="1"/>
  <c r="E119" i="4"/>
  <c r="K159" i="2"/>
  <c r="D119" i="4" s="1"/>
  <c r="E118" i="4"/>
  <c r="K158" i="2"/>
  <c r="D118" i="4" s="1"/>
  <c r="E117" i="4"/>
  <c r="K157" i="2"/>
  <c r="D117" i="4" s="1"/>
  <c r="E116" i="4"/>
  <c r="K156" i="2"/>
  <c r="D116" i="4" s="1"/>
  <c r="E115" i="4"/>
  <c r="K155" i="2"/>
  <c r="D115" i="4" s="1"/>
  <c r="E114" i="4"/>
  <c r="K154" i="2"/>
  <c r="D114" i="4" s="1"/>
  <c r="K152" i="2"/>
  <c r="K151" i="2"/>
  <c r="K149" i="2"/>
  <c r="K148" i="2"/>
  <c r="K147" i="2"/>
  <c r="K146" i="2"/>
  <c r="K145" i="2"/>
  <c r="K144" i="2"/>
  <c r="K143" i="2"/>
  <c r="K142" i="2"/>
  <c r="K141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4" i="2"/>
  <c r="K123" i="2"/>
  <c r="K122" i="2"/>
  <c r="K121" i="2"/>
  <c r="K120" i="2"/>
  <c r="K119" i="2"/>
  <c r="K118" i="2"/>
  <c r="E111" i="4"/>
  <c r="K115" i="2"/>
  <c r="D111" i="4" s="1"/>
  <c r="E110" i="4"/>
  <c r="K114" i="2"/>
  <c r="D110" i="4" s="1"/>
  <c r="E109" i="4"/>
  <c r="K113" i="2"/>
  <c r="D109" i="4" s="1"/>
  <c r="E108" i="4"/>
  <c r="K112" i="2"/>
  <c r="D108" i="4" s="1"/>
  <c r="E107" i="4"/>
  <c r="K111" i="2"/>
  <c r="D107" i="4" s="1"/>
  <c r="E105" i="4"/>
  <c r="K109" i="2"/>
  <c r="D105" i="4" s="1"/>
  <c r="E104" i="4"/>
  <c r="K108" i="2"/>
  <c r="D104" i="4" s="1"/>
  <c r="E103" i="4"/>
  <c r="K107" i="2"/>
  <c r="D103" i="4" s="1"/>
  <c r="K106" i="2"/>
  <c r="K105" i="2"/>
  <c r="K104" i="2"/>
  <c r="K103" i="2"/>
  <c r="E101" i="4"/>
  <c r="K101" i="2"/>
  <c r="D101" i="4" s="1"/>
  <c r="E99" i="4"/>
  <c r="K99" i="2"/>
  <c r="D99" i="4" s="1"/>
  <c r="E98" i="4"/>
  <c r="K98" i="2"/>
  <c r="D98" i="4" s="1"/>
  <c r="E97" i="4"/>
  <c r="K97" i="2"/>
  <c r="D97" i="4" s="1"/>
  <c r="E96" i="4"/>
  <c r="K96" i="2"/>
  <c r="D96" i="4" s="1"/>
  <c r="E95" i="4"/>
  <c r="K95" i="2"/>
  <c r="D95" i="4" s="1"/>
  <c r="E94" i="4"/>
  <c r="K94" i="2"/>
  <c r="D94" i="4" s="1"/>
  <c r="E93" i="4"/>
  <c r="K93" i="2"/>
  <c r="D93" i="4" s="1"/>
  <c r="E92" i="4"/>
  <c r="K92" i="2"/>
  <c r="D92" i="4" s="1"/>
  <c r="E91" i="4"/>
  <c r="K91" i="2"/>
  <c r="D91" i="4" s="1"/>
  <c r="E90" i="4"/>
  <c r="K90" i="2"/>
  <c r="D90" i="4" s="1"/>
  <c r="E89" i="4"/>
  <c r="K89" i="2"/>
  <c r="D89" i="4" s="1"/>
  <c r="E88" i="4"/>
  <c r="K88" i="2"/>
  <c r="D88" i="4" s="1"/>
  <c r="E87" i="4"/>
  <c r="K87" i="2"/>
  <c r="D87" i="4" s="1"/>
  <c r="E86" i="4"/>
  <c r="K85" i="2"/>
  <c r="D86" i="4" s="1"/>
  <c r="E84" i="4"/>
  <c r="K82" i="2"/>
  <c r="D84" i="4" s="1"/>
  <c r="K81" i="2"/>
  <c r="K80" i="2"/>
  <c r="E82" i="4"/>
  <c r="K78" i="2"/>
  <c r="D82" i="4" s="1"/>
  <c r="E81" i="4"/>
  <c r="K77" i="2"/>
  <c r="D81" i="4" s="1"/>
  <c r="E80" i="4"/>
  <c r="K76" i="2"/>
  <c r="D80" i="4" s="1"/>
  <c r="E79" i="4"/>
  <c r="K75" i="2"/>
  <c r="D79" i="4" s="1"/>
  <c r="E78" i="4"/>
  <c r="K74" i="2"/>
  <c r="D78" i="4" s="1"/>
  <c r="E77" i="4"/>
  <c r="K73" i="2"/>
  <c r="D77" i="4" s="1"/>
  <c r="E76" i="4"/>
  <c r="K72" i="2"/>
  <c r="D76" i="4" s="1"/>
  <c r="E75" i="4"/>
  <c r="K71" i="2"/>
  <c r="D75" i="4" s="1"/>
  <c r="E74" i="4"/>
  <c r="K70" i="2"/>
  <c r="D74" i="4" s="1"/>
  <c r="E73" i="4"/>
  <c r="K69" i="2"/>
  <c r="D73" i="4" s="1"/>
  <c r="E72" i="4"/>
  <c r="K68" i="2"/>
  <c r="D72" i="4" s="1"/>
  <c r="E71" i="4"/>
  <c r="K67" i="2"/>
  <c r="D71" i="4" s="1"/>
  <c r="K66" i="2"/>
  <c r="K65" i="2"/>
  <c r="K63" i="2"/>
  <c r="K62" i="2"/>
  <c r="E65" i="4"/>
  <c r="K57" i="2"/>
  <c r="D65" i="4" s="1"/>
  <c r="E64" i="4"/>
  <c r="K56" i="2"/>
  <c r="D64" i="4" s="1"/>
  <c r="E63" i="4"/>
  <c r="K55" i="2"/>
  <c r="D63" i="4" s="1"/>
  <c r="E62" i="4"/>
  <c r="K54" i="2"/>
  <c r="D62" i="4" s="1"/>
  <c r="E61" i="4"/>
  <c r="K53" i="2"/>
  <c r="E59" i="4"/>
  <c r="K51" i="2"/>
  <c r="D59" i="4" s="1"/>
  <c r="E58" i="4"/>
  <c r="K50" i="2"/>
  <c r="E56" i="4"/>
  <c r="E23" i="1" s="1"/>
  <c r="K48" i="2"/>
  <c r="D56" i="4" s="1"/>
  <c r="E55" i="4"/>
  <c r="E22" i="1" s="1"/>
  <c r="K47" i="2"/>
  <c r="D55" i="4" s="1"/>
  <c r="K46" i="2"/>
  <c r="K45" i="2"/>
  <c r="E53" i="4"/>
  <c r="E20" i="1" s="1"/>
  <c r="K43" i="2"/>
  <c r="D53" i="4" s="1"/>
  <c r="E52" i="4"/>
  <c r="E19" i="1" s="1"/>
  <c r="K42" i="2"/>
  <c r="D52" i="4" s="1"/>
  <c r="E50" i="4"/>
  <c r="K40" i="2"/>
  <c r="D50" i="4" s="1"/>
  <c r="E49" i="4"/>
  <c r="K39" i="2"/>
  <c r="D49" i="4" s="1"/>
  <c r="E48" i="4"/>
  <c r="K38" i="2"/>
  <c r="D48" i="4" s="1"/>
  <c r="K37" i="2"/>
  <c r="K36" i="2"/>
  <c r="K35" i="2"/>
  <c r="K34" i="2"/>
  <c r="K33" i="2"/>
  <c r="K32" i="2"/>
  <c r="E46" i="4"/>
  <c r="K30" i="2"/>
  <c r="D46" i="4" s="1"/>
  <c r="E44" i="4"/>
  <c r="K28" i="2"/>
  <c r="D44" i="4" s="1"/>
  <c r="E43" i="4"/>
  <c r="K27" i="2"/>
  <c r="D43" i="4" s="1"/>
  <c r="E41" i="4"/>
  <c r="E15" i="1" s="1"/>
  <c r="K25" i="2"/>
  <c r="D41" i="4" s="1"/>
  <c r="E40" i="4"/>
  <c r="E14" i="1" s="1"/>
  <c r="K24" i="2"/>
  <c r="D40" i="4" s="1"/>
  <c r="E39" i="4"/>
  <c r="E13" i="1" s="1"/>
  <c r="K23" i="2"/>
  <c r="D39" i="4" s="1"/>
  <c r="K22" i="2"/>
  <c r="K21" i="2"/>
  <c r="K20" i="2"/>
  <c r="K19" i="2"/>
  <c r="K18" i="2"/>
  <c r="K17" i="2"/>
  <c r="E35" i="4"/>
  <c r="K13" i="2"/>
  <c r="D35" i="4" s="1"/>
  <c r="E34" i="4"/>
  <c r="K11" i="2"/>
  <c r="D34" i="4" s="1"/>
  <c r="E33" i="4"/>
  <c r="K10" i="2"/>
  <c r="D33" i="4" s="1"/>
  <c r="E32" i="4"/>
  <c r="K9" i="2"/>
  <c r="D32" i="4" s="1"/>
  <c r="E30" i="4"/>
  <c r="K7" i="2"/>
  <c r="D30" i="4" s="1"/>
  <c r="E29" i="4"/>
  <c r="K6" i="2"/>
  <c r="D29" i="4" s="1"/>
  <c r="M271" i="2"/>
  <c r="L271" i="2"/>
  <c r="E579" i="4"/>
  <c r="E113" i="1" s="1"/>
  <c r="E550" i="4"/>
  <c r="E549" i="4"/>
  <c r="E504" i="4"/>
  <c r="E467" i="4"/>
  <c r="K133" i="23" l="1"/>
  <c r="K12" i="23"/>
  <c r="K127" i="23"/>
  <c r="K129" i="23"/>
  <c r="L129" i="23" s="1"/>
  <c r="K89" i="23"/>
  <c r="E332" i="24"/>
  <c r="D109" i="24"/>
  <c r="K145" i="23"/>
  <c r="L145" i="23" s="1"/>
  <c r="E295" i="24"/>
  <c r="K22" i="23"/>
  <c r="K61" i="23"/>
  <c r="L61" i="23" s="1"/>
  <c r="K77" i="23"/>
  <c r="L77" i="23" s="1"/>
  <c r="K49" i="23"/>
  <c r="K111" i="23"/>
  <c r="L111" i="23" s="1"/>
  <c r="K23" i="23"/>
  <c r="L23" i="23" s="1"/>
  <c r="K146" i="23"/>
  <c r="L153" i="23"/>
  <c r="E31" i="24"/>
  <c r="D214" i="24"/>
  <c r="E238" i="24"/>
  <c r="K14" i="23"/>
  <c r="K139" i="23"/>
  <c r="K163" i="23"/>
  <c r="L163" i="23" s="1"/>
  <c r="K148" i="23"/>
  <c r="L148" i="23" s="1"/>
  <c r="I52" i="23"/>
  <c r="I47" i="23" s="1"/>
  <c r="L127" i="23"/>
  <c r="L151" i="23"/>
  <c r="K167" i="23"/>
  <c r="L167" i="23" s="1"/>
  <c r="J109" i="23"/>
  <c r="I157" i="23"/>
  <c r="K157" i="23" s="1"/>
  <c r="E145" i="24"/>
  <c r="E128" i="24" s="1"/>
  <c r="L146" i="23"/>
  <c r="K69" i="23"/>
  <c r="K25" i="23"/>
  <c r="L25" i="23" s="1"/>
  <c r="L12" i="23"/>
  <c r="J66" i="23"/>
  <c r="L89" i="23"/>
  <c r="L22" i="23"/>
  <c r="L49" i="23"/>
  <c r="L67" i="23"/>
  <c r="D61" i="4"/>
  <c r="E62" i="24"/>
  <c r="E58" i="24" s="1"/>
  <c r="J18" i="23"/>
  <c r="I134" i="23"/>
  <c r="K134" i="23" s="1"/>
  <c r="L134" i="23" s="1"/>
  <c r="I109" i="23"/>
  <c r="I123" i="23" s="1"/>
  <c r="E275" i="24"/>
  <c r="K10" i="23"/>
  <c r="K120" i="23"/>
  <c r="J7" i="23"/>
  <c r="K149" i="23"/>
  <c r="J60" i="23"/>
  <c r="K60" i="23" s="1"/>
  <c r="J130" i="23"/>
  <c r="K21" i="23"/>
  <c r="L21" i="23" s="1"/>
  <c r="K119" i="23"/>
  <c r="L119" i="23" s="1"/>
  <c r="D58" i="4"/>
  <c r="D57" i="4" s="1"/>
  <c r="K42" i="23"/>
  <c r="L42" i="23" s="1"/>
  <c r="I73" i="23"/>
  <c r="K73" i="23" s="1"/>
  <c r="K19" i="23"/>
  <c r="L19" i="23" s="1"/>
  <c r="D145" i="24"/>
  <c r="K75" i="23"/>
  <c r="L75" i="23" s="1"/>
  <c r="J34" i="23"/>
  <c r="L36" i="23"/>
  <c r="D62" i="24"/>
  <c r="D58" i="24" s="1"/>
  <c r="I18" i="23"/>
  <c r="E101" i="24"/>
  <c r="E95" i="24" s="1"/>
  <c r="D440" i="4"/>
  <c r="D585" i="4"/>
  <c r="D117" i="1" s="1"/>
  <c r="F117" i="1" s="1"/>
  <c r="J90" i="23"/>
  <c r="I36" i="23"/>
  <c r="D101" i="24"/>
  <c r="D95" i="24" s="1"/>
  <c r="J29" i="23"/>
  <c r="L30" i="23"/>
  <c r="I141" i="23"/>
  <c r="K142" i="23"/>
  <c r="L142" i="23" s="1"/>
  <c r="I7" i="23"/>
  <c r="K8" i="23"/>
  <c r="I59" i="23"/>
  <c r="J47" i="23"/>
  <c r="I72" i="23"/>
  <c r="J155" i="23"/>
  <c r="I126" i="23"/>
  <c r="D238" i="24"/>
  <c r="K81" i="23"/>
  <c r="L81" i="23" s="1"/>
  <c r="L14" i="23"/>
  <c r="K48" i="23"/>
  <c r="D31" i="24"/>
  <c r="D295" i="24"/>
  <c r="D275" i="24" s="1"/>
  <c r="I40" i="23"/>
  <c r="L157" i="23"/>
  <c r="J159" i="23"/>
  <c r="K94" i="23"/>
  <c r="L94" i="23" s="1"/>
  <c r="I98" i="23"/>
  <c r="J41" i="23"/>
  <c r="K41" i="23" s="1"/>
  <c r="E109" i="24"/>
  <c r="L79" i="23"/>
  <c r="J78" i="23"/>
  <c r="L78" i="23" s="1"/>
  <c r="K88" i="23"/>
  <c r="I90" i="23"/>
  <c r="K90" i="23" s="1"/>
  <c r="D128" i="24"/>
  <c r="D108" i="24" s="1"/>
  <c r="L73" i="23"/>
  <c r="J72" i="23"/>
  <c r="D200" i="24"/>
  <c r="I29" i="23"/>
  <c r="K30" i="23"/>
  <c r="I78" i="23"/>
  <c r="K79" i="23"/>
  <c r="J98" i="23"/>
  <c r="D382" i="4"/>
  <c r="D506" i="4"/>
  <c r="D503" i="4" s="1"/>
  <c r="E413" i="4"/>
  <c r="E412" i="4"/>
  <c r="D412" i="4"/>
  <c r="E156" i="4"/>
  <c r="D15" i="1"/>
  <c r="F15" i="1" s="1"/>
  <c r="D101" i="1"/>
  <c r="F101" i="1" s="1"/>
  <c r="D19" i="1"/>
  <c r="F19" i="1" s="1"/>
  <c r="D22" i="1"/>
  <c r="F22" i="1" s="1"/>
  <c r="G22" i="1" s="1"/>
  <c r="D20" i="1"/>
  <c r="F20" i="1" s="1"/>
  <c r="D33" i="1"/>
  <c r="F33" i="1" s="1"/>
  <c r="D13" i="1"/>
  <c r="F13" i="1" s="1"/>
  <c r="D23" i="1"/>
  <c r="F23" i="1" s="1"/>
  <c r="G23" i="1" s="1"/>
  <c r="D14" i="1"/>
  <c r="F14" i="1" s="1"/>
  <c r="D95" i="1"/>
  <c r="F95" i="1" s="1"/>
  <c r="D113" i="1"/>
  <c r="D96" i="1"/>
  <c r="F96" i="1" s="1"/>
  <c r="D114" i="1"/>
  <c r="F114" i="1" s="1"/>
  <c r="G114" i="1" s="1"/>
  <c r="D104" i="1"/>
  <c r="F104" i="1" s="1"/>
  <c r="D112" i="1"/>
  <c r="F112" i="1" s="1"/>
  <c r="G112" i="1" s="1"/>
  <c r="D58" i="1"/>
  <c r="F58" i="1" s="1"/>
  <c r="D115" i="1"/>
  <c r="F115" i="1" s="1"/>
  <c r="F113" i="1"/>
  <c r="G113" i="1" s="1"/>
  <c r="E54" i="4"/>
  <c r="E21" i="1" s="1"/>
  <c r="E18" i="1" s="1"/>
  <c r="E83" i="4"/>
  <c r="D54" i="4"/>
  <c r="E70" i="4"/>
  <c r="D156" i="4"/>
  <c r="E349" i="4"/>
  <c r="E382" i="4"/>
  <c r="E210" i="4"/>
  <c r="E209" i="4" s="1"/>
  <c r="E43" i="1" s="1"/>
  <c r="D179" i="4"/>
  <c r="D214" i="4"/>
  <c r="D178" i="4"/>
  <c r="D182" i="4"/>
  <c r="D184" i="4"/>
  <c r="D192" i="4"/>
  <c r="E194" i="4"/>
  <c r="E247" i="4"/>
  <c r="E243" i="4" s="1"/>
  <c r="E47" i="1" s="1"/>
  <c r="D265" i="4"/>
  <c r="E338" i="4"/>
  <c r="D341" i="4"/>
  <c r="E177" i="4"/>
  <c r="E377" i="4"/>
  <c r="E383" i="4"/>
  <c r="D236" i="4"/>
  <c r="D349" i="4"/>
  <c r="E478" i="4"/>
  <c r="E473" i="4" s="1"/>
  <c r="E83" i="1" s="1"/>
  <c r="E175" i="4"/>
  <c r="E179" i="4"/>
  <c r="E192" i="4"/>
  <c r="E197" i="4"/>
  <c r="E214" i="4"/>
  <c r="D383" i="4"/>
  <c r="E236" i="4"/>
  <c r="D398" i="4"/>
  <c r="E398" i="4"/>
  <c r="E249" i="4"/>
  <c r="E290" i="4"/>
  <c r="E242" i="4"/>
  <c r="E238" i="4" s="1"/>
  <c r="E46" i="1" s="1"/>
  <c r="D286" i="4"/>
  <c r="E288" i="4"/>
  <c r="D296" i="4"/>
  <c r="D316" i="4"/>
  <c r="E355" i="4"/>
  <c r="D175" i="4"/>
  <c r="E312" i="4"/>
  <c r="D470" i="4"/>
  <c r="E506" i="4"/>
  <c r="E503" i="4" s="1"/>
  <c r="E176" i="4"/>
  <c r="D177" i="4"/>
  <c r="D181" i="4"/>
  <c r="D249" i="4"/>
  <c r="D290" i="4"/>
  <c r="D69" i="4"/>
  <c r="D83" i="4"/>
  <c r="E69" i="4"/>
  <c r="D495" i="4"/>
  <c r="D155" i="4"/>
  <c r="E102" i="4"/>
  <c r="E100" i="4" s="1"/>
  <c r="E85" i="4" s="1"/>
  <c r="E472" i="4"/>
  <c r="E82" i="1" s="1"/>
  <c r="E370" i="4"/>
  <c r="E196" i="4"/>
  <c r="D197" i="4"/>
  <c r="D305" i="4"/>
  <c r="D180" i="4"/>
  <c r="E184" i="4"/>
  <c r="D185" i="4"/>
  <c r="D242" i="4"/>
  <c r="E286" i="4"/>
  <c r="D288" i="4"/>
  <c r="E341" i="4"/>
  <c r="D377" i="4"/>
  <c r="E433" i="4"/>
  <c r="D472" i="4"/>
  <c r="E180" i="4"/>
  <c r="D338" i="4"/>
  <c r="E374" i="4"/>
  <c r="D391" i="4"/>
  <c r="E395" i="4"/>
  <c r="D426" i="4"/>
  <c r="E181" i="4"/>
  <c r="D210" i="4"/>
  <c r="D395" i="4"/>
  <c r="D164" i="4"/>
  <c r="E442" i="4"/>
  <c r="E75" i="1" s="1"/>
  <c r="E163" i="4"/>
  <c r="D247" i="4"/>
  <c r="E305" i="4"/>
  <c r="D297" i="4"/>
  <c r="E111" i="1"/>
  <c r="E97" i="1"/>
  <c r="E495" i="4"/>
  <c r="D195" i="4"/>
  <c r="E281" i="4"/>
  <c r="E277" i="4" s="1"/>
  <c r="E52" i="1" s="1"/>
  <c r="E296" i="4"/>
  <c r="D312" i="4"/>
  <c r="E350" i="4"/>
  <c r="D370" i="4"/>
  <c r="E417" i="4"/>
  <c r="E204" i="4"/>
  <c r="D220" i="4"/>
  <c r="D380" i="4"/>
  <c r="E416" i="4"/>
  <c r="E164" i="4"/>
  <c r="D176" i="4"/>
  <c r="E178" i="4"/>
  <c r="E182" i="4"/>
  <c r="E295" i="4"/>
  <c r="E298" i="4"/>
  <c r="D407" i="4"/>
  <c r="E407" i="4"/>
  <c r="D425" i="4"/>
  <c r="D432" i="4"/>
  <c r="D163" i="4"/>
  <c r="D193" i="4"/>
  <c r="E198" i="4"/>
  <c r="D198" i="4"/>
  <c r="D206" i="4"/>
  <c r="E265" i="4"/>
  <c r="E264" i="4" s="1"/>
  <c r="E50" i="1" s="1"/>
  <c r="D295" i="4"/>
  <c r="D343" i="4"/>
  <c r="D399" i="4"/>
  <c r="E404" i="4"/>
  <c r="E422" i="4"/>
  <c r="E429" i="4"/>
  <c r="D478" i="4"/>
  <c r="E193" i="4"/>
  <c r="D194" i="4"/>
  <c r="D237" i="4"/>
  <c r="E304" i="4"/>
  <c r="D313" i="4"/>
  <c r="E343" i="4"/>
  <c r="D359" i="4"/>
  <c r="E426" i="4"/>
  <c r="D444" i="4"/>
  <c r="E237" i="4"/>
  <c r="E313" i="4"/>
  <c r="E325" i="4"/>
  <c r="E321" i="4" s="1"/>
  <c r="E57" i="1" s="1"/>
  <c r="E394" i="4"/>
  <c r="D442" i="4"/>
  <c r="E185" i="4"/>
  <c r="D196" i="4"/>
  <c r="D205" i="4"/>
  <c r="E205" i="4"/>
  <c r="D325" i="4"/>
  <c r="D403" i="4"/>
  <c r="D437" i="4"/>
  <c r="D445" i="4"/>
  <c r="E195" i="4"/>
  <c r="E203" i="4"/>
  <c r="D203" i="4"/>
  <c r="D204" i="4"/>
  <c r="E206" i="4"/>
  <c r="E220" i="4"/>
  <c r="D281" i="4"/>
  <c r="E289" i="4"/>
  <c r="D289" i="4"/>
  <c r="E297" i="4"/>
  <c r="D298" i="4"/>
  <c r="D304" i="4"/>
  <c r="E314" i="4"/>
  <c r="D314" i="4"/>
  <c r="E316" i="4"/>
  <c r="D350" i="4"/>
  <c r="D355" i="4"/>
  <c r="E359" i="4"/>
  <c r="D374" i="4"/>
  <c r="E380" i="4"/>
  <c r="E378" i="4" s="1"/>
  <c r="E390" i="4"/>
  <c r="D390" i="4"/>
  <c r="E391" i="4"/>
  <c r="D394" i="4"/>
  <c r="E399" i="4"/>
  <c r="E403" i="4"/>
  <c r="D404" i="4"/>
  <c r="D408" i="4"/>
  <c r="E408" i="4"/>
  <c r="D416" i="4"/>
  <c r="D417" i="4"/>
  <c r="E421" i="4"/>
  <c r="D421" i="4"/>
  <c r="D422" i="4"/>
  <c r="E425" i="4"/>
  <c r="D429" i="4"/>
  <c r="E432" i="4"/>
  <c r="D433" i="4"/>
  <c r="E437" i="4"/>
  <c r="E73" i="1" s="1"/>
  <c r="E444" i="4"/>
  <c r="E445" i="4"/>
  <c r="E470" i="4"/>
  <c r="E464" i="4" s="1"/>
  <c r="E81" i="1" s="1"/>
  <c r="D344" i="4"/>
  <c r="D548" i="4"/>
  <c r="D271" i="4"/>
  <c r="D514" i="4"/>
  <c r="D480" i="4"/>
  <c r="D456" i="4"/>
  <c r="D496" i="4"/>
  <c r="D47" i="4"/>
  <c r="D157" i="4"/>
  <c r="D70" i="4"/>
  <c r="D129" i="4"/>
  <c r="E134" i="4"/>
  <c r="E131" i="4" s="1"/>
  <c r="E496" i="4"/>
  <c r="D112" i="4"/>
  <c r="E112" i="4"/>
  <c r="D102" i="4"/>
  <c r="E155" i="4"/>
  <c r="E47" i="4"/>
  <c r="E45" i="4" s="1"/>
  <c r="E17" i="1" s="1"/>
  <c r="E38" i="4"/>
  <c r="E12" i="1" s="1"/>
  <c r="E129" i="4"/>
  <c r="E126" i="4" s="1"/>
  <c r="E157" i="4"/>
  <c r="D141" i="4"/>
  <c r="E141" i="4"/>
  <c r="N271" i="2"/>
  <c r="D38" i="4"/>
  <c r="D134" i="4"/>
  <c r="D42" i="4"/>
  <c r="E42" i="4"/>
  <c r="E16" i="1" s="1"/>
  <c r="D31" i="4"/>
  <c r="K271" i="2"/>
  <c r="D123" i="4"/>
  <c r="D136" i="4"/>
  <c r="D283" i="4"/>
  <c r="E166" i="4"/>
  <c r="D361" i="4"/>
  <c r="D507" i="4"/>
  <c r="D565" i="4"/>
  <c r="D60" i="4"/>
  <c r="E317" i="4"/>
  <c r="E31" i="4"/>
  <c r="E28" i="4" s="1"/>
  <c r="E27" i="4" s="1"/>
  <c r="E10" i="1" s="1"/>
  <c r="E548" i="4"/>
  <c r="D166" i="4"/>
  <c r="D317" i="4"/>
  <c r="D365" i="4"/>
  <c r="D252" i="4"/>
  <c r="D170" i="4"/>
  <c r="D447" i="4"/>
  <c r="D523" i="4"/>
  <c r="D577" i="4"/>
  <c r="E283" i="4"/>
  <c r="D334" i="4"/>
  <c r="D258" i="4"/>
  <c r="D439" i="4"/>
  <c r="D74" i="1" s="1"/>
  <c r="D582" i="4"/>
  <c r="E334" i="4"/>
  <c r="D221" i="4"/>
  <c r="D497" i="4"/>
  <c r="D553" i="4"/>
  <c r="D146" i="4"/>
  <c r="D533" i="4"/>
  <c r="D113" i="4"/>
  <c r="D28" i="1" s="1"/>
  <c r="D106" i="4"/>
  <c r="D142" i="4"/>
  <c r="E553" i="4"/>
  <c r="E551" i="4" s="1"/>
  <c r="E565" i="4"/>
  <c r="E562" i="4" s="1"/>
  <c r="E577" i="4"/>
  <c r="E170" i="4"/>
  <c r="E258" i="4"/>
  <c r="E49" i="1" s="1"/>
  <c r="E344" i="4"/>
  <c r="E365" i="4"/>
  <c r="E62" i="1" s="1"/>
  <c r="E142" i="4"/>
  <c r="E31" i="1" s="1"/>
  <c r="E497" i="4"/>
  <c r="E106" i="4"/>
  <c r="E57" i="4"/>
  <c r="E24" i="1" s="1"/>
  <c r="E123" i="4"/>
  <c r="E60" i="4"/>
  <c r="E25" i="1" s="1"/>
  <c r="E136" i="4"/>
  <c r="E439" i="4"/>
  <c r="E456" i="4"/>
  <c r="E79" i="1" s="1"/>
  <c r="E507" i="4"/>
  <c r="E533" i="4"/>
  <c r="E531" i="4" s="1"/>
  <c r="E146" i="4"/>
  <c r="E32" i="1" s="1"/>
  <c r="E361" i="4"/>
  <c r="E514" i="4"/>
  <c r="E523" i="4"/>
  <c r="E520" i="4" s="1"/>
  <c r="E480" i="4"/>
  <c r="E84" i="1" s="1"/>
  <c r="E582" i="4"/>
  <c r="E116" i="1" s="1"/>
  <c r="E252" i="4"/>
  <c r="E271" i="4"/>
  <c r="E51" i="1" s="1"/>
  <c r="E447" i="4"/>
  <c r="E78" i="1" s="1"/>
  <c r="E221" i="4"/>
  <c r="E113" i="4"/>
  <c r="E28" i="1" s="1"/>
  <c r="E340" i="24" l="1"/>
  <c r="K109" i="23"/>
  <c r="L109" i="23" s="1"/>
  <c r="I159" i="23"/>
  <c r="K52" i="23"/>
  <c r="L52" i="23" s="1"/>
  <c r="J123" i="23"/>
  <c r="J161" i="23" s="1"/>
  <c r="K123" i="23"/>
  <c r="L149" i="23"/>
  <c r="E108" i="24"/>
  <c r="D340" i="24"/>
  <c r="L90" i="23"/>
  <c r="L48" i="23"/>
  <c r="L88" i="23"/>
  <c r="K66" i="23"/>
  <c r="L66" i="23" s="1"/>
  <c r="E30" i="24"/>
  <c r="K78" i="23"/>
  <c r="J59" i="23"/>
  <c r="K59" i="23" s="1"/>
  <c r="L60" i="23"/>
  <c r="I17" i="23"/>
  <c r="K18" i="23"/>
  <c r="L18" i="23" s="1"/>
  <c r="J17" i="23"/>
  <c r="J28" i="23"/>
  <c r="L41" i="23"/>
  <c r="J40" i="23"/>
  <c r="K40" i="23" s="1"/>
  <c r="K72" i="23"/>
  <c r="K36" i="23"/>
  <c r="I34" i="23"/>
  <c r="K34" i="23" s="1"/>
  <c r="L34" i="23" s="1"/>
  <c r="I58" i="23"/>
  <c r="K29" i="23"/>
  <c r="L29" i="23" s="1"/>
  <c r="K159" i="23"/>
  <c r="L159" i="23" s="1"/>
  <c r="D30" i="24"/>
  <c r="D207" i="24" s="1"/>
  <c r="K7" i="23"/>
  <c r="L7" i="23" s="1"/>
  <c r="K126" i="23"/>
  <c r="L126" i="23" s="1"/>
  <c r="I130" i="23"/>
  <c r="K98" i="23"/>
  <c r="L98" i="23" s="1"/>
  <c r="K47" i="23"/>
  <c r="L47" i="23" s="1"/>
  <c r="K141" i="23"/>
  <c r="I155" i="23"/>
  <c r="K155" i="23" s="1"/>
  <c r="L155" i="23" s="1"/>
  <c r="D16" i="1"/>
  <c r="F16" i="1" s="1"/>
  <c r="G16" i="1" s="1"/>
  <c r="D131" i="4"/>
  <c r="D31" i="1"/>
  <c r="F31" i="1" s="1"/>
  <c r="G31" i="1" s="1"/>
  <c r="D24" i="1"/>
  <c r="F24" i="1" s="1"/>
  <c r="D520" i="4"/>
  <c r="D100" i="4"/>
  <c r="D45" i="4"/>
  <c r="F28" i="1"/>
  <c r="G28" i="1" s="1"/>
  <c r="D28" i="4"/>
  <c r="D126" i="4"/>
  <c r="D21" i="1"/>
  <c r="F21" i="1" s="1"/>
  <c r="G21" i="1" s="1"/>
  <c r="D531" i="4"/>
  <c r="D25" i="1"/>
  <c r="F25" i="1" s="1"/>
  <c r="G25" i="1" s="1"/>
  <c r="D32" i="1"/>
  <c r="F32" i="1" s="1"/>
  <c r="G32" i="1" s="1"/>
  <c r="D97" i="1"/>
  <c r="F97" i="1" s="1"/>
  <c r="D111" i="1"/>
  <c r="F111" i="1" s="1"/>
  <c r="G111" i="1" s="1"/>
  <c r="D551" i="4"/>
  <c r="D547" i="4" s="1"/>
  <c r="D62" i="1"/>
  <c r="F62" i="1" s="1"/>
  <c r="G62" i="1" s="1"/>
  <c r="D277" i="4"/>
  <c r="D52" i="1" s="1"/>
  <c r="D73" i="1"/>
  <c r="F73" i="1" s="1"/>
  <c r="D378" i="4"/>
  <c r="D243" i="4"/>
  <c r="D464" i="4"/>
  <c r="D321" i="4"/>
  <c r="D238" i="4"/>
  <c r="D79" i="1"/>
  <c r="F79" i="1" s="1"/>
  <c r="D75" i="1"/>
  <c r="F75" i="1" s="1"/>
  <c r="D264" i="4"/>
  <c r="D562" i="4"/>
  <c r="D51" i="1"/>
  <c r="F51" i="1" s="1"/>
  <c r="D209" i="4"/>
  <c r="D82" i="1"/>
  <c r="F82" i="1" s="1"/>
  <c r="D49" i="1"/>
  <c r="F49" i="1" s="1"/>
  <c r="D84" i="1"/>
  <c r="F84" i="1" s="1"/>
  <c r="G84" i="1" s="1"/>
  <c r="D116" i="1"/>
  <c r="F116" i="1" s="1"/>
  <c r="G116" i="1" s="1"/>
  <c r="D78" i="1"/>
  <c r="D473" i="4"/>
  <c r="D381" i="4"/>
  <c r="E51" i="4"/>
  <c r="D154" i="4"/>
  <c r="E68" i="4"/>
  <c r="E67" i="4" s="1"/>
  <c r="D51" i="4"/>
  <c r="D299" i="4"/>
  <c r="D424" i="4"/>
  <c r="E354" i="4"/>
  <c r="E351" i="4" s="1"/>
  <c r="E61" i="1" s="1"/>
  <c r="D232" i="4"/>
  <c r="D493" i="4"/>
  <c r="D90" i="1" s="1"/>
  <c r="E29" i="1"/>
  <c r="E232" i="4"/>
  <c r="E45" i="1" s="1"/>
  <c r="E381" i="4"/>
  <c r="E376" i="4" s="1"/>
  <c r="E64" i="1" s="1"/>
  <c r="E347" i="4"/>
  <c r="E331" i="4" s="1"/>
  <c r="E60" i="1" s="1"/>
  <c r="E174" i="4"/>
  <c r="E118" i="1"/>
  <c r="D183" i="4"/>
  <c r="D248" i="4"/>
  <c r="E248" i="4"/>
  <c r="E48" i="1" s="1"/>
  <c r="D347" i="4"/>
  <c r="E183" i="4"/>
  <c r="E299" i="4"/>
  <c r="E55" i="1" s="1"/>
  <c r="D389" i="4"/>
  <c r="D174" i="4"/>
  <c r="D393" i="4"/>
  <c r="D368" i="4"/>
  <c r="E135" i="4"/>
  <c r="E121" i="4" s="1"/>
  <c r="E30" i="1" s="1"/>
  <c r="E368" i="4"/>
  <c r="E63" i="1" s="1"/>
  <c r="D29" i="1"/>
  <c r="E11" i="1"/>
  <c r="E9" i="1" s="1"/>
  <c r="D68" i="4"/>
  <c r="E493" i="4"/>
  <c r="E90" i="1" s="1"/>
  <c r="E431" i="4"/>
  <c r="E428" i="4" s="1"/>
  <c r="E71" i="1" s="1"/>
  <c r="D397" i="4"/>
  <c r="E393" i="4"/>
  <c r="E67" i="1" s="1"/>
  <c r="E213" i="4"/>
  <c r="E44" i="1" s="1"/>
  <c r="E411" i="4"/>
  <c r="D443" i="4"/>
  <c r="E291" i="4"/>
  <c r="E54" i="1" s="1"/>
  <c r="D411" i="4"/>
  <c r="E91" i="1"/>
  <c r="E443" i="4"/>
  <c r="E76" i="1" s="1"/>
  <c r="E282" i="4"/>
  <c r="E53" i="1" s="1"/>
  <c r="E420" i="4"/>
  <c r="D354" i="4"/>
  <c r="E397" i="4"/>
  <c r="E68" i="1" s="1"/>
  <c r="E415" i="4"/>
  <c r="D420" i="4"/>
  <c r="D202" i="4"/>
  <c r="E402" i="4"/>
  <c r="D91" i="1"/>
  <c r="D406" i="4"/>
  <c r="E80" i="1"/>
  <c r="E77" i="1"/>
  <c r="E438" i="4"/>
  <c r="E436" i="4" s="1"/>
  <c r="E74" i="1"/>
  <c r="E72" i="1" s="1"/>
  <c r="D37" i="4"/>
  <c r="D12" i="1"/>
  <c r="F12" i="1" s="1"/>
  <c r="G12" i="1" s="1"/>
  <c r="E37" i="4"/>
  <c r="E36" i="4" s="1"/>
  <c r="E154" i="4"/>
  <c r="E34" i="1" s="1"/>
  <c r="E202" i="4"/>
  <c r="E201" i="4" s="1"/>
  <c r="E42" i="1" s="1"/>
  <c r="D291" i="4"/>
  <c r="D431" i="4"/>
  <c r="D162" i="4"/>
  <c r="D402" i="4"/>
  <c r="E389" i="4"/>
  <c r="E66" i="1" s="1"/>
  <c r="E310" i="4"/>
  <c r="E307" i="4" s="1"/>
  <c r="D191" i="4"/>
  <c r="E406" i="4"/>
  <c r="D310" i="4"/>
  <c r="E191" i="4"/>
  <c r="E40" i="1" s="1"/>
  <c r="D415" i="4"/>
  <c r="D282" i="4"/>
  <c r="D213" i="4"/>
  <c r="E424" i="4"/>
  <c r="E162" i="4"/>
  <c r="D438" i="4"/>
  <c r="E446" i="4"/>
  <c r="E547" i="4"/>
  <c r="E544" i="4" s="1"/>
  <c r="E105" i="1" s="1"/>
  <c r="D446" i="4"/>
  <c r="D135" i="4"/>
  <c r="E518" i="4"/>
  <c r="D586" i="4"/>
  <c r="E586" i="4"/>
  <c r="E463" i="4"/>
  <c r="E207" i="24" l="1"/>
  <c r="M207" i="24" s="1"/>
  <c r="L141" i="23"/>
  <c r="L123" i="23"/>
  <c r="L72" i="23"/>
  <c r="I13" i="23"/>
  <c r="K17" i="23"/>
  <c r="J58" i="23"/>
  <c r="L59" i="23"/>
  <c r="I28" i="23"/>
  <c r="K28" i="23" s="1"/>
  <c r="L28" i="23" s="1"/>
  <c r="L17" i="23"/>
  <c r="J13" i="23"/>
  <c r="K130" i="23"/>
  <c r="I161" i="23"/>
  <c r="L40" i="23"/>
  <c r="I46" i="23"/>
  <c r="D77" i="1"/>
  <c r="F77" i="1" s="1"/>
  <c r="D18" i="1"/>
  <c r="F18" i="1" s="1"/>
  <c r="G18" i="1" s="1"/>
  <c r="F29" i="1"/>
  <c r="G29" i="1" s="1"/>
  <c r="D518" i="4"/>
  <c r="D34" i="1"/>
  <c r="F34" i="1" s="1"/>
  <c r="G34" i="1" s="1"/>
  <c r="D121" i="4"/>
  <c r="D30" i="1" s="1"/>
  <c r="D510" i="4"/>
  <c r="D118" i="1"/>
  <c r="F118" i="1" s="1"/>
  <c r="G118" i="1" s="1"/>
  <c r="D27" i="4"/>
  <c r="D85" i="4"/>
  <c r="D36" i="4"/>
  <c r="D17" i="1"/>
  <c r="F17" i="1" s="1"/>
  <c r="G17" i="1" s="1"/>
  <c r="D72" i="1"/>
  <c r="F72" i="1" s="1"/>
  <c r="E401" i="4"/>
  <c r="F52" i="1"/>
  <c r="G52" i="1" s="1"/>
  <c r="D66" i="1"/>
  <c r="F66" i="1" s="1"/>
  <c r="G66" i="1" s="1"/>
  <c r="D376" i="4"/>
  <c r="D76" i="1"/>
  <c r="F76" i="1" s="1"/>
  <c r="G76" i="1" s="1"/>
  <c r="D55" i="1"/>
  <c r="F55" i="1" s="1"/>
  <c r="G55" i="1" s="1"/>
  <c r="F78" i="1"/>
  <c r="D40" i="1"/>
  <c r="F40" i="1" s="1"/>
  <c r="G40" i="1" s="1"/>
  <c r="D351" i="4"/>
  <c r="D53" i="1"/>
  <c r="F53" i="1" s="1"/>
  <c r="G53" i="1" s="1"/>
  <c r="D201" i="4"/>
  <c r="D81" i="1"/>
  <c r="D331" i="4"/>
  <c r="D83" i="1"/>
  <c r="F83" i="1" s="1"/>
  <c r="G83" i="1" s="1"/>
  <c r="D57" i="1"/>
  <c r="F57" i="1" s="1"/>
  <c r="G57" i="1" s="1"/>
  <c r="D47" i="1"/>
  <c r="F47" i="1" s="1"/>
  <c r="D463" i="4"/>
  <c r="D428" i="4"/>
  <c r="D544" i="4"/>
  <c r="D307" i="4"/>
  <c r="D54" i="1"/>
  <c r="F54" i="1" s="1"/>
  <c r="G54" i="1" s="1"/>
  <c r="D68" i="1"/>
  <c r="F68" i="1" s="1"/>
  <c r="G68" i="1" s="1"/>
  <c r="D63" i="1"/>
  <c r="F63" i="1" s="1"/>
  <c r="G63" i="1" s="1"/>
  <c r="D48" i="1"/>
  <c r="F48" i="1" s="1"/>
  <c r="D436" i="4"/>
  <c r="D67" i="1"/>
  <c r="F67" i="1" s="1"/>
  <c r="G67" i="1" s="1"/>
  <c r="D45" i="1"/>
  <c r="F45" i="1" s="1"/>
  <c r="D43" i="1"/>
  <c r="F43" i="1" s="1"/>
  <c r="D50" i="1"/>
  <c r="F50" i="1" s="1"/>
  <c r="D46" i="1"/>
  <c r="F46" i="1" s="1"/>
  <c r="F74" i="1"/>
  <c r="F91" i="1"/>
  <c r="D419" i="4"/>
  <c r="E26" i="4"/>
  <c r="D161" i="4"/>
  <c r="D388" i="4"/>
  <c r="E161" i="4"/>
  <c r="E160" i="4" s="1"/>
  <c r="E510" i="4"/>
  <c r="E92" i="1"/>
  <c r="D410" i="4"/>
  <c r="E410" i="4"/>
  <c r="E388" i="4"/>
  <c r="E387" i="4" s="1"/>
  <c r="E69" i="1"/>
  <c r="E59" i="1"/>
  <c r="E419" i="4"/>
  <c r="D70" i="1"/>
  <c r="E200" i="4"/>
  <c r="E56" i="1"/>
  <c r="E41" i="1" s="1"/>
  <c r="E70" i="1"/>
  <c r="D44" i="1"/>
  <c r="F44" i="1" s="1"/>
  <c r="G44" i="1" s="1"/>
  <c r="E542" i="4"/>
  <c r="E103" i="1"/>
  <c r="D401" i="4"/>
  <c r="D69" i="1"/>
  <c r="D102" i="1"/>
  <c r="E66" i="4"/>
  <c r="E27" i="1"/>
  <c r="E26" i="1" s="1"/>
  <c r="E35" i="1" s="1"/>
  <c r="E516" i="4"/>
  <c r="E102" i="1"/>
  <c r="E100" i="1" s="1"/>
  <c r="E330" i="4"/>
  <c r="K161" i="23" l="1"/>
  <c r="L161" i="23" s="1"/>
  <c r="I37" i="23"/>
  <c r="L130" i="23"/>
  <c r="J37" i="23"/>
  <c r="K37" i="23" s="1"/>
  <c r="L37" i="23" s="1"/>
  <c r="K13" i="23"/>
  <c r="L13" i="23" s="1"/>
  <c r="J46" i="23"/>
  <c r="K46" i="23" s="1"/>
  <c r="K58" i="23"/>
  <c r="L58" i="23" s="1"/>
  <c r="I86" i="23"/>
  <c r="D542" i="4"/>
  <c r="D516" i="4"/>
  <c r="D200" i="4"/>
  <c r="D11" i="1"/>
  <c r="F11" i="1" s="1"/>
  <c r="G11" i="1" s="1"/>
  <c r="E158" i="4"/>
  <c r="D67" i="4"/>
  <c r="D105" i="1"/>
  <c r="F105" i="1" s="1"/>
  <c r="G105" i="1" s="1"/>
  <c r="F30" i="1"/>
  <c r="G30" i="1" s="1"/>
  <c r="D10" i="1"/>
  <c r="F10" i="1" s="1"/>
  <c r="G10" i="1" s="1"/>
  <c r="D26" i="4"/>
  <c r="D387" i="4"/>
  <c r="D39" i="1"/>
  <c r="D38" i="1" s="1"/>
  <c r="D61" i="1"/>
  <c r="F61" i="1" s="1"/>
  <c r="G61" i="1" s="1"/>
  <c r="D60" i="1"/>
  <c r="D330" i="4"/>
  <c r="D56" i="1"/>
  <c r="F56" i="1" s="1"/>
  <c r="G56" i="1" s="1"/>
  <c r="D64" i="1"/>
  <c r="F64" i="1" s="1"/>
  <c r="G64" i="1" s="1"/>
  <c r="F81" i="1"/>
  <c r="D80" i="1"/>
  <c r="F80" i="1" s="1"/>
  <c r="G80" i="1" s="1"/>
  <c r="F70" i="1"/>
  <c r="G70" i="1" s="1"/>
  <c r="D71" i="1"/>
  <c r="F71" i="1" s="1"/>
  <c r="G71" i="1" s="1"/>
  <c r="D42" i="1"/>
  <c r="F42" i="1" s="1"/>
  <c r="F69" i="1"/>
  <c r="G69" i="1" s="1"/>
  <c r="D92" i="1"/>
  <c r="F92" i="1" s="1"/>
  <c r="G92" i="1" s="1"/>
  <c r="F90" i="1"/>
  <c r="G90" i="1" s="1"/>
  <c r="F102" i="1"/>
  <c r="G102" i="1" s="1"/>
  <c r="E39" i="1"/>
  <c r="E38" i="1" s="1"/>
  <c r="D160" i="4"/>
  <c r="D100" i="1"/>
  <c r="F100" i="1" s="1"/>
  <c r="G100" i="1" s="1"/>
  <c r="E574" i="4"/>
  <c r="E386" i="4"/>
  <c r="E65" i="1"/>
  <c r="D65" i="1"/>
  <c r="E106" i="1"/>
  <c r="E199" i="4"/>
  <c r="L46" i="23" l="1"/>
  <c r="J86" i="23"/>
  <c r="I92" i="23"/>
  <c r="D574" i="4"/>
  <c r="D103" i="1"/>
  <c r="F103" i="1" s="1"/>
  <c r="G103" i="1" s="1"/>
  <c r="D9" i="1"/>
  <c r="F9" i="1" s="1"/>
  <c r="G9" i="1" s="1"/>
  <c r="D66" i="4"/>
  <c r="D158" i="4" s="1"/>
  <c r="D27" i="1"/>
  <c r="D199" i="4"/>
  <c r="D386" i="4"/>
  <c r="F65" i="1"/>
  <c r="G65" i="1" s="1"/>
  <c r="D59" i="1"/>
  <c r="F59" i="1" s="1"/>
  <c r="G59" i="1" s="1"/>
  <c r="F60" i="1"/>
  <c r="G60" i="1" s="1"/>
  <c r="D41" i="1"/>
  <c r="F41" i="1" s="1"/>
  <c r="G41" i="1" s="1"/>
  <c r="F38" i="1"/>
  <c r="G38" i="1" s="1"/>
  <c r="F39" i="1"/>
  <c r="G39" i="1" s="1"/>
  <c r="E85" i="1"/>
  <c r="E87" i="1" s="1"/>
  <c r="E108" i="1" s="1"/>
  <c r="E120" i="1" s="1"/>
  <c r="E491" i="4"/>
  <c r="E575" i="4" s="1"/>
  <c r="E587" i="4" s="1"/>
  <c r="J92" i="23" l="1"/>
  <c r="K86" i="23"/>
  <c r="L86" i="23" s="1"/>
  <c r="D106" i="1"/>
  <c r="F106" i="1" s="1"/>
  <c r="G106" i="1" s="1"/>
  <c r="F27" i="1"/>
  <c r="G27" i="1" s="1"/>
  <c r="D26" i="1"/>
  <c r="D491" i="4"/>
  <c r="D85" i="1"/>
  <c r="F85" i="1" s="1"/>
  <c r="G85" i="1" s="1"/>
  <c r="K92" i="23" l="1"/>
  <c r="L92" i="23" s="1"/>
  <c r="D575" i="4"/>
  <c r="F26" i="1"/>
  <c r="G26" i="1" s="1"/>
  <c r="D35" i="1"/>
  <c r="F35" i="1" s="1"/>
  <c r="G35" i="1" s="1"/>
  <c r="D587" i="4" l="1"/>
  <c r="D87" i="1"/>
  <c r="D108" i="1" s="1"/>
  <c r="F108" i="1" s="1"/>
  <c r="G108" i="1" s="1"/>
  <c r="N1022" i="3"/>
  <c r="N272" i="2" s="1"/>
  <c r="N273" i="2" s="1"/>
  <c r="L1022" i="3"/>
  <c r="K1022" i="3"/>
  <c r="K272" i="2" s="1"/>
  <c r="K273" i="2" s="1"/>
  <c r="M272" i="2" l="1"/>
  <c r="M273" i="2" s="1"/>
  <c r="L272" i="2"/>
  <c r="D120" i="1"/>
  <c r="F120" i="1" s="1"/>
  <c r="G120" i="1" s="1"/>
  <c r="L273" i="2" l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E8" i="17" l="1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136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<sst xmlns="http://schemas.openxmlformats.org/spreadsheetml/2006/main" count="7114" uniqueCount="4880">
  <si>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</si>
  <si>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</si>
  <si>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</si>
  <si>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</si>
  <si>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</si>
  <si>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</si>
  <si>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</si>
  <si>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</si>
  <si>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</si>
  <si>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</si>
  <si>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</si>
  <si>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</si>
  <si>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</si>
  <si>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</si>
  <si>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</si>
  <si>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</si>
  <si>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</si>
  <si>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</si>
  <si>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</si>
  <si>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</si>
  <si>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</si>
  <si>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</si>
  <si>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</si>
  <si>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</si>
  <si>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</si>
  <si>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</si>
  <si>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</si>
  <si>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</si>
  <si>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</si>
  <si>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</si>
  <si>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</si>
  <si>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</si>
  <si>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</si>
  <si>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</si>
  <si>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</si>
  <si>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</si>
  <si>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</si>
  <si>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</si>
  <si>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</si>
  <si>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</si>
  <si>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</si>
  <si>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</si>
  <si>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</si>
  <si>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</si>
  <si>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</si>
  <si>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</si>
  <si>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</si>
  <si>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</si>
  <si>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</si>
  <si>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</si>
  <si>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</si>
  <si>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</si>
  <si>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</si>
  <si>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</si>
  <si>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</si>
  <si>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</si>
  <si>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</si>
  <si>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</si>
  <si>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</si>
  <si>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</si>
  <si>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</si>
  <si>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</si>
  <si>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</si>
  <si>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</si>
  <si>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</si>
  <si>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</si>
  <si>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</si>
  <si>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</si>
  <si>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</si>
  <si>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</si>
  <si>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</si>
  <si>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</si>
  <si>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</si>
  <si>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</si>
  <si>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</si>
  <si>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</si>
  <si>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</si>
  <si>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</si>
  <si>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</si>
  <si>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</si>
  <si>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</si>
  <si>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</si>
  <si>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</si>
  <si>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</si>
  <si>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</si>
  <si>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</si>
  <si>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</si>
  <si>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</si>
  <si>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</si>
  <si>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</si>
  <si>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</si>
  <si>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</si>
  <si>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</si>
  <si>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</si>
  <si>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</si>
  <si>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</si>
  <si>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</si>
  <si>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</si>
  <si>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</si>
  <si>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</si>
  <si>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</si>
  <si>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</si>
  <si>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</si>
  <si>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</si>
  <si>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</si>
  <si>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</si>
  <si>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</si>
  <si>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</si>
  <si>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</si>
  <si>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</si>
  <si>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</si>
  <si>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</si>
  <si>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</si>
  <si>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</si>
  <si>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</si>
  <si>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</si>
  <si>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</si>
  <si>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</si>
  <si>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</si>
  <si>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</si>
  <si>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</si>
  <si>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</si>
  <si>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</si>
  <si>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</si>
  <si>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</si>
  <si>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</si>
  <si>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</si>
  <si>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</si>
  <si>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</si>
  <si>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</si>
  <si>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</si>
  <si>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</si>
  <si>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</si>
  <si>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</si>
  <si>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</si>
  <si>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</si>
  <si>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</si>
  <si>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</si>
  <si>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</si>
  <si>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</si>
  <si>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</si>
  <si>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</si>
  <si>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</si>
  <si>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</si>
  <si>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</si>
  <si>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</si>
  <si>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</si>
  <si>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</si>
  <si>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</si>
  <si>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</si>
  <si>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</si>
  <si>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</si>
  <si>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</si>
  <si>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</si>
  <si>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</si>
  <si>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</si>
  <si>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</si>
  <si>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</si>
  <si>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</si>
  <si>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</si>
  <si>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</si>
  <si>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</si>
  <si>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</si>
  <si>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</si>
  <si>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</si>
  <si>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</si>
  <si>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</si>
  <si>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</si>
  <si>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</si>
  <si>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</si>
  <si>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</si>
  <si>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</si>
  <si>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</si>
  <si>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</si>
  <si>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</si>
  <si>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</si>
  <si>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</si>
  <si>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</si>
  <si>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</si>
  <si>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</si>
  <si>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</si>
  <si>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</si>
  <si>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</si>
  <si>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</si>
  <si>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</si>
  <si>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</si>
  <si>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</si>
  <si>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</si>
  <si>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</si>
  <si>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</si>
  <si>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</si>
  <si>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</si>
  <si>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</si>
  <si>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</si>
  <si>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</si>
  <si>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</si>
  <si>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</si>
  <si>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</si>
  <si>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</si>
  <si>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</si>
  <si>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</si>
  <si>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</si>
  <si>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</si>
  <si>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</si>
  <si>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</si>
  <si>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</si>
  <si>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</si>
  <si>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</si>
  <si>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</si>
  <si>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</si>
  <si>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</si>
  <si>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</si>
  <si>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</si>
  <si>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</si>
  <si>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</si>
  <si>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</si>
  <si>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</si>
  <si>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</si>
  <si>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</si>
  <si>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</si>
  <si>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</si>
  <si>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</si>
  <si>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</si>
  <si>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</si>
  <si>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</si>
  <si>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</si>
  <si>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</si>
  <si>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</si>
  <si>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</si>
  <si>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</si>
  <si>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</si>
  <si>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</si>
  <si>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</si>
  <si>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</si>
  <si>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</si>
  <si>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</si>
  <si>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</si>
  <si>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</si>
  <si>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</si>
  <si>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</si>
  <si>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</si>
  <si>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</si>
  <si>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</si>
  <si>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</si>
  <si>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</si>
  <si>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</si>
  <si>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</si>
  <si>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</si>
  <si>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</si>
  <si>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</si>
  <si>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</si>
  <si>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</si>
  <si>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</si>
  <si>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</si>
  <si>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</si>
  <si>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</si>
  <si>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</si>
  <si>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</si>
  <si>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</si>
  <si>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</si>
  <si>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</si>
  <si>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</si>
  <si>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</si>
  <si>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</si>
  <si>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</si>
  <si>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</si>
  <si>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</si>
  <si>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</si>
  <si>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</si>
  <si>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</si>
  <si>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</si>
  <si>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</si>
  <si>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</si>
  <si>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</si>
  <si>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</si>
  <si>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</si>
  <si>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</si>
  <si>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</si>
  <si>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</si>
  <si>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</si>
  <si>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</si>
  <si>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</si>
  <si>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</si>
  <si>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</si>
  <si>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</si>
  <si>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</si>
  <si>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</si>
  <si>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</si>
  <si>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</si>
  <si>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</si>
  <si>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</si>
  <si>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</si>
  <si>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</si>
  <si>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</si>
  <si>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</si>
  <si>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</si>
  <si>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</si>
  <si>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</si>
  <si>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</si>
  <si>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</si>
  <si>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</si>
  <si>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</si>
  <si>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</si>
  <si>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</si>
  <si>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</si>
  <si>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</si>
  <si>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</si>
  <si>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</si>
  <si>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</si>
  <si>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</si>
  <si>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</si>
  <si>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</si>
  <si>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</si>
  <si>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</si>
  <si>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</si>
  <si>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</si>
  <si>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</si>
  <si>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</si>
  <si>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</si>
  <si>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</si>
  <si>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</si>
  <si>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</si>
  <si>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</si>
  <si>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</si>
  <si>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</si>
  <si>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</si>
  <si>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</si>
  <si>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</si>
  <si>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</si>
  <si>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</si>
  <si>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</si>
  <si>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</si>
  <si>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</si>
  <si>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</si>
  <si>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</si>
  <si>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</si>
  <si>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</si>
  <si>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</si>
  <si>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</si>
  <si>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</si>
  <si>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</si>
  <si>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</si>
  <si>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</si>
  <si>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</si>
  <si>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</si>
  <si>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</si>
  <si>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</si>
  <si>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</si>
  <si>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</si>
  <si>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</si>
  <si>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</si>
  <si>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</si>
  <si>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</si>
  <si>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</si>
  <si>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</si>
  <si>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</si>
  <si>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</si>
  <si>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</si>
  <si>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</si>
  <si>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</si>
  <si>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</si>
  <si>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</si>
  <si>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</si>
  <si>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</si>
  <si>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</si>
  <si>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</si>
  <si>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</si>
  <si>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</si>
  <si>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</si>
  <si>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</si>
  <si>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</si>
  <si>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</si>
  <si>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</si>
  <si>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</si>
  <si>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</si>
  <si>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</si>
  <si>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</si>
  <si>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</si>
  <si>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</si>
  <si>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</si>
  <si>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</si>
  <si>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</si>
  <si>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</si>
  <si>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</si>
  <si>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</si>
  <si>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</si>
  <si>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</si>
  <si>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</si>
  <si>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</si>
  <si>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</si>
  <si>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</si>
  <si>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</si>
  <si>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</si>
  <si>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</si>
  <si>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</si>
  <si>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</si>
  <si>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</si>
  <si>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</si>
  <si>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</si>
  <si>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</si>
  <si>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</si>
  <si>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</si>
  <si>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</si>
  <si>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</si>
  <si>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</si>
  <si>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</si>
  <si>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</si>
  <si>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</si>
  <si>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</si>
  <si>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</si>
  <si>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</si>
  <si>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</si>
  <si>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</si>
  <si>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</si>
  <si>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</si>
  <si>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</si>
  <si>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</si>
  <si>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</si>
  <si>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</si>
  <si>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</si>
  <si>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</si>
  <si>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</si>
  <si>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</si>
  <si>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</si>
  <si>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</si>
  <si>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</si>
  <si>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</si>
  <si>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</si>
  <si>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</si>
  <si>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</si>
  <si>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</si>
  <si>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</si>
  <si>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</si>
  <si>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</si>
  <si>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</si>
  <si>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</si>
  <si>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</si>
  <si>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</si>
  <si>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</si>
  <si>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</si>
  <si>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</si>
  <si>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</si>
  <si>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</si>
  <si>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</si>
  <si>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</si>
  <si>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</si>
  <si>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</si>
  <si>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</si>
  <si>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</si>
  <si>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</si>
  <si>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</si>
  <si>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</si>
  <si>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</si>
  <si>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</si>
  <si>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</si>
  <si>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</si>
  <si>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</si>
  <si>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</si>
  <si>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</si>
  <si>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</si>
  <si>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</si>
  <si>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</si>
  <si>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</si>
  <si>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</si>
  <si>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</si>
  <si>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</si>
  <si>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</si>
  <si>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</si>
  <si>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</si>
  <si>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</si>
  <si>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</si>
  <si>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</si>
  <si>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</si>
  <si>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</si>
  <si>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</si>
  <si>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</si>
  <si>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</si>
  <si>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</si>
  <si>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</si>
  <si>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</si>
  <si>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</si>
  <si>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</si>
  <si>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</si>
  <si>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</si>
  <si>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</si>
  <si>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</si>
  <si>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</si>
  <si>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</si>
  <si>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</si>
  <si>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</si>
  <si>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</si>
  <si>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</si>
  <si>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</si>
  <si>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</si>
  <si>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</si>
  <si>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</si>
  <si>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</si>
  <si>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</si>
  <si>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</si>
  <si>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</si>
  <si>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</si>
  <si>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</si>
  <si>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</si>
  <si>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</si>
  <si>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</si>
  <si>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</si>
  <si>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</si>
  <si>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</si>
  <si>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</si>
  <si>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</si>
  <si>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</si>
  <si>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</si>
  <si>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</si>
  <si>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</si>
  <si>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</si>
  <si>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</si>
  <si>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</si>
  <si>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</si>
  <si>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</si>
  <si>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</si>
  <si>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</si>
  <si>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</si>
  <si>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</si>
  <si>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</si>
  <si>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</si>
  <si>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</si>
  <si>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</si>
  <si>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</si>
  <si>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</si>
  <si>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</si>
  <si>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</si>
  <si>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</si>
  <si>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</si>
  <si>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</si>
  <si>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</si>
  <si>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</si>
  <si>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</si>
  <si>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</si>
  <si>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</si>
  <si>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</si>
  <si>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</si>
  <si>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</si>
  <si>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</si>
  <si>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</si>
  <si>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</si>
  <si>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</si>
  <si>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</si>
  <si>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</si>
  <si>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</si>
  <si>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</si>
  <si>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</si>
  <si>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</si>
  <si>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</si>
  <si>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</si>
  <si>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</si>
  <si>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</si>
  <si>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</si>
  <si>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</si>
  <si>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</si>
  <si>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</si>
  <si>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</si>
  <si>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</si>
  <si>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</si>
  <si>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</si>
  <si>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</si>
  <si>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</si>
  <si>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</si>
  <si>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</si>
  <si>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</si>
  <si>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</si>
  <si>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</si>
  <si>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</si>
  <si>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</si>
  <si>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</si>
  <si>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</si>
  <si>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</si>
  <si>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</si>
  <si>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</si>
  <si>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</si>
  <si>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</si>
  <si>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</si>
  <si>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</si>
  <si>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</si>
  <si>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</si>
  <si>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</si>
  <si>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</si>
  <si>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</si>
  <si>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</si>
  <si>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</si>
  <si>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</si>
  <si>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</si>
  <si>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</si>
  <si>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</si>
  <si>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</si>
  <si>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</si>
  <si>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</si>
  <si>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</si>
  <si>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</si>
  <si>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</si>
  <si>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</si>
  <si>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</si>
  <si>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</si>
  <si>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</si>
  <si>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</si>
  <si>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</si>
  <si>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</si>
  <si>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</si>
  <si>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</si>
  <si>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</si>
  <si>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</si>
  <si>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</si>
  <si>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</si>
  <si>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</si>
  <si>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</si>
  <si>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</si>
  <si>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</si>
  <si>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</si>
  <si>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</si>
  <si>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</si>
  <si>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</si>
  <si>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</si>
  <si>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</si>
  <si>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</si>
  <si>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</si>
  <si>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</si>
  <si>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</si>
  <si>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</si>
  <si>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</si>
  <si>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</si>
  <si>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</si>
  <si>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</si>
  <si>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</si>
  <si>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</si>
  <si>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</si>
  <si>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</si>
  <si>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</si>
  <si>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</si>
  <si>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</si>
  <si>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</si>
  <si>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</si>
  <si>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</si>
  <si>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</si>
  <si>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</si>
  <si>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</si>
  <si>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</si>
  <si>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</si>
  <si>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</si>
  <si>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</si>
  <si>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</si>
  <si>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</si>
  <si>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</si>
  <si>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</si>
  <si>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</si>
  <si>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</si>
  <si>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</si>
  <si>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</si>
  <si>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</si>
  <si>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</si>
  <si>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</si>
  <si>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</si>
  <si>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</si>
  <si>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</si>
  <si>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</si>
  <si>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</si>
  <si>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</si>
  <si>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</si>
  <si>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</si>
  <si>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</si>
  <si>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</si>
  <si>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</si>
  <si>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</si>
  <si>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</si>
  <si>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</si>
  <si>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</si>
  <si>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</si>
  <si>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</si>
  <si>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</si>
  <si>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</si>
  <si>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</si>
  <si>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</si>
  <si>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</si>
  <si>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</si>
  <si>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</si>
  <si>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</si>
  <si>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</si>
  <si>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</si>
  <si>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</si>
  <si>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</si>
  <si>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</si>
  <si>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</si>
  <si>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</si>
  <si>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</si>
  <si>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</si>
  <si>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</si>
  <si>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</si>
  <si>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</si>
  <si>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</si>
  <si>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</si>
  <si>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</si>
  <si>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</si>
  <si>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</si>
  <si>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</si>
  <si>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</si>
  <si>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</si>
  <si>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</si>
  <si>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</si>
  <si>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</si>
  <si>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</si>
  <si>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</si>
  <si>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</si>
  <si>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</si>
  <si>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</si>
  <si>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</si>
  <si>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</si>
  <si>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</si>
  <si>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</si>
  <si>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</si>
  <si>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</si>
  <si>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</si>
  <si>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</si>
  <si>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</si>
  <si>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</si>
  <si>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</si>
  <si>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</si>
  <si>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</si>
  <si>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</si>
  <si>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</si>
  <si>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</si>
  <si>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</si>
  <si>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</si>
  <si>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</si>
  <si>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</si>
  <si>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</si>
  <si>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</si>
  <si>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</si>
  <si>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</si>
  <si>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</si>
  <si>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</si>
  <si>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</si>
  <si>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</si>
  <si>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</si>
  <si>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</si>
  <si>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</si>
  <si>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</si>
  <si>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</si>
  <si>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</si>
  <si>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</si>
  <si>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</si>
  <si>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</si>
  <si>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</si>
  <si>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</si>
  <si>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</si>
  <si>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</si>
  <si>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</si>
  <si>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</si>
  <si>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</si>
  <si>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</si>
  <si>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</si>
  <si>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</si>
  <si>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</si>
  <si>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</si>
  <si>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</si>
  <si>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</si>
  <si>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</si>
  <si>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</si>
  <si>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</si>
  <si>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</si>
  <si>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</si>
  <si>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</si>
  <si>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</si>
  <si>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</si>
  <si>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</si>
  <si>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</si>
  <si>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</si>
  <si>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</si>
  <si>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</si>
  <si>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</si>
  <si>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</si>
  <si>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</si>
  <si>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</si>
  <si>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</si>
  <si>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</si>
  <si>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</si>
  <si>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</si>
  <si>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</si>
  <si>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</si>
  <si>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</si>
  <si>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</si>
  <si>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</si>
  <si>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</si>
  <si>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</si>
  <si>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</si>
  <si>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</si>
  <si>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</si>
  <si>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</si>
  <si>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</si>
  <si>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</si>
  <si>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</si>
  <si>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</si>
  <si>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</si>
  <si>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</si>
  <si>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</si>
  <si>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</si>
  <si>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</si>
  <si>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</si>
  <si>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</si>
  <si>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</si>
  <si>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</si>
  <si>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</si>
  <si>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</si>
  <si>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</si>
  <si>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</si>
  <si>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</si>
  <si>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</si>
  <si>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</si>
  <si>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</si>
  <si>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</si>
  <si>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</si>
  <si>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</si>
  <si>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</si>
  <si>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</si>
  <si>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</si>
  <si>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</si>
  <si>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</si>
  <si>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</si>
  <si>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</si>
  <si>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</si>
  <si>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</si>
  <si>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</si>
  <si>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</si>
  <si>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</si>
  <si>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</si>
  <si>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</si>
  <si>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</si>
  <si>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</si>
  <si>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</si>
  <si>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</si>
  <si>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</si>
  <si>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</si>
  <si>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</si>
  <si>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</si>
  <si>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</si>
  <si>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</si>
  <si>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</si>
  <si>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</si>
  <si>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</si>
  <si>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</si>
  <si>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</si>
  <si>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</si>
  <si>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</si>
  <si>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</si>
  <si>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</si>
  <si>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</si>
  <si>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</si>
  <si>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</si>
  <si>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</si>
  <si>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</si>
  <si>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</si>
  <si>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</si>
  <si>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</si>
  <si>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</si>
  <si>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</si>
  <si>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</si>
  <si>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</si>
  <si>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</si>
  <si>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</si>
  <si>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</si>
  <si>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</si>
  <si>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</si>
  <si>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</si>
  <si>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</si>
  <si>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</si>
  <si>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</si>
  <si>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</si>
  <si>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</si>
  <si>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</si>
  <si>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</si>
  <si>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</si>
  <si>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</si>
  <si>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</si>
  <si>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</si>
  <si>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</si>
  <si>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</si>
  <si>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</si>
  <si>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</si>
  <si>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</si>
  <si>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</si>
  <si>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</si>
  <si>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</si>
  <si>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</si>
  <si>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</si>
  <si>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</si>
  <si>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</si>
  <si>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</si>
  <si>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</si>
  <si>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</si>
  <si>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</si>
  <si>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</si>
  <si>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</si>
  <si>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</si>
  <si>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</si>
  <si>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</si>
  <si>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</si>
  <si>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</si>
  <si>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</si>
  <si>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</si>
  <si>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</si>
  <si>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</si>
  <si>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</si>
  <si>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</si>
  <si>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</si>
  <si>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</si>
  <si>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</si>
  <si>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</si>
  <si>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</si>
  <si>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</si>
  <si>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</si>
  <si>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</si>
  <si>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</si>
  <si>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</si>
  <si>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</si>
  <si>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</si>
  <si>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</si>
  <si>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</si>
  <si>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</si>
  <si>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</si>
  <si>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</si>
  <si>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</si>
  <si>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</si>
  <si>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</si>
  <si>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</si>
  <si>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</si>
  <si>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</si>
  <si>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</si>
  <si>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</si>
  <si>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</si>
  <si>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</si>
  <si>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</si>
  <si>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</si>
  <si>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</si>
  <si>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</si>
  <si>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</si>
  <si>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</si>
  <si>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</si>
  <si>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</si>
  <si>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</si>
  <si>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</si>
  <si>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</si>
  <si>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</si>
  <si>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</si>
  <si>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</si>
  <si>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</si>
  <si>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</si>
  <si>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</si>
  <si>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</si>
  <si>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</si>
  <si>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</si>
  <si>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</si>
  <si>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</si>
  <si>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</si>
  <si>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</si>
  <si>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</si>
  <si>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</si>
  <si>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</si>
  <si>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</si>
  <si>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</si>
  <si>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</si>
  <si>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</si>
  <si>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</si>
  <si>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</si>
  <si>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</si>
  <si>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</si>
  <si>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</si>
  <si>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</si>
  <si>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</si>
  <si>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</si>
  <si>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</si>
  <si>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</si>
  <si>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</si>
  <si>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</si>
  <si>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</si>
  <si>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</si>
  <si>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</si>
  <si>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</si>
  <si>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</si>
  <si>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</si>
  <si>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</si>
  <si>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</si>
  <si>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</si>
  <si>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</si>
  <si>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</si>
  <si>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</si>
  <si>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</si>
  <si>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</si>
  <si>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</si>
  <si>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</si>
  <si>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</si>
  <si>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</si>
  <si>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</si>
  <si>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</si>
  <si>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</si>
  <si>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</si>
  <si>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</si>
  <si>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</si>
  <si>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</si>
  <si>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</si>
  <si>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</si>
  <si>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</si>
  <si>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</si>
  <si>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</si>
  <si>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</si>
  <si>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</si>
  <si>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</si>
  <si>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</si>
  <si>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</si>
  <si>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</si>
  <si>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</si>
  <si>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</si>
  <si>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</si>
  <si>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</si>
  <si>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</si>
  <si>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</si>
  <si>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</si>
  <si>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</si>
  <si>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</si>
  <si>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</si>
  <si>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</si>
  <si>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</si>
  <si>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</si>
  <si>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</si>
  <si>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</si>
  <si>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</si>
  <si>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</si>
  <si>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</si>
  <si>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</si>
  <si>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</si>
  <si>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</si>
  <si>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</si>
  <si>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</si>
  <si>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</si>
  <si>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</si>
  <si>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</si>
  <si>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</si>
  <si>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</si>
  <si>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</si>
  <si>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</si>
  <si>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</si>
  <si>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</si>
  <si>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</si>
  <si>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</si>
  <si>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</si>
  <si>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</si>
  <si>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</si>
  <si>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</si>
  <si>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</si>
  <si>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</si>
  <si>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</si>
  <si>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</si>
  <si>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</si>
  <si>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</si>
  <si>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</si>
  <si>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</si>
  <si>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</si>
  <si>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</si>
  <si>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</si>
  <si>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</si>
  <si>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</si>
  <si>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</si>
  <si>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</si>
  <si>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</si>
  <si>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</si>
  <si>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</si>
  <si>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</si>
  <si>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</si>
  <si>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</si>
  <si>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</si>
  <si>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</si>
  <si>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</si>
  <si>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</si>
  <si>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</si>
  <si>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</si>
  <si>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</si>
  <si>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</si>
  <si>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</si>
  <si>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</si>
  <si>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</si>
  <si>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</si>
  <si>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</si>
  <si>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</si>
  <si>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</si>
  <si>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</si>
  <si>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</si>
  <si>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</si>
  <si>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</si>
  <si>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</si>
  <si>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</si>
  <si>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</si>
  <si>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</si>
  <si>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</si>
  <si>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</si>
  <si>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</si>
  <si>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</si>
  <si>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</si>
  <si>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</si>
  <si>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</si>
  <si>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</si>
  <si>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</si>
  <si>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</si>
  <si>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</si>
  <si>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</si>
  <si>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</si>
  <si>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</si>
  <si>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</si>
  <si>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</si>
  <si>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</si>
  <si>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</si>
  <si>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</si>
  <si>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</si>
  <si>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</si>
  <si>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</si>
  <si>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</si>
  <si>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</si>
  <si>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</si>
  <si>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</si>
  <si>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</si>
  <si>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</si>
  <si>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</si>
  <si>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</si>
  <si>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</si>
  <si>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</si>
  <si>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</si>
  <si>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</si>
  <si>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</si>
  <si>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</si>
  <si>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</si>
  <si>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</si>
  <si>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</si>
  <si>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</si>
  <si>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</si>
  <si>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</si>
  <si>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</si>
  <si>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</si>
  <si>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</si>
  <si>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</si>
  <si>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</si>
  <si>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</si>
  <si>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</si>
  <si>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</si>
  <si>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</si>
  <si>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</si>
  <si>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</si>
  <si>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</si>
  <si>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</si>
  <si>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</si>
  <si>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</si>
  <si>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</si>
  <si>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</si>
  <si>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</si>
  <si>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</si>
  <si>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</si>
  <si>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</si>
  <si>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</si>
  <si>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</si>
  <si>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</si>
  <si>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</si>
  <si>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</si>
  <si>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</si>
  <si>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</si>
  <si>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</si>
  <si>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</si>
  <si>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</si>
  <si>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</si>
  <si>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</si>
  <si>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</si>
  <si>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</si>
  <si>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</si>
  <si>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</si>
  <si>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</si>
  <si>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</si>
  <si>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</si>
  <si>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</si>
  <si>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</si>
  <si>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</si>
  <si>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</si>
  <si>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</si>
  <si>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</si>
  <si>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</si>
  <si>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</si>
  <si>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</si>
  <si>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</si>
  <si>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</si>
  <si>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</si>
  <si>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</si>
  <si>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</si>
  <si>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</si>
  <si>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</si>
  <si>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</si>
  <si>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</si>
  <si>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</si>
  <si>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</si>
  <si>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</si>
  <si>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</si>
  <si>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</si>
  <si>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</si>
  <si>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</si>
  <si>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</si>
  <si>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</si>
  <si>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</si>
  <si>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</si>
  <si>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</si>
  <si>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</si>
  <si>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</si>
  <si>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</si>
  <si>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</si>
  <si>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</si>
  <si>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</si>
  <si>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</si>
  <si>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</si>
  <si>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</si>
  <si>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</si>
  <si>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</si>
  <si>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</si>
  <si>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</si>
  <si>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</si>
  <si>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</si>
  <si>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</si>
  <si>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</si>
  <si>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</si>
  <si>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</si>
  <si>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</si>
  <si>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</si>
  <si>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</si>
  <si>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</si>
  <si>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</si>
  <si>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</si>
  <si>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</si>
  <si>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</si>
  <si>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</si>
  <si>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</si>
  <si>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</si>
  <si>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</si>
  <si>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</si>
  <si>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</si>
  <si>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</si>
  <si>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</si>
  <si>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</si>
  <si>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</si>
  <si>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</si>
  <si>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</si>
  <si>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</si>
  <si>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</si>
  <si>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</si>
  <si>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</si>
  <si>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</si>
  <si>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</si>
  <si>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</si>
  <si>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</si>
  <si>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</si>
  <si>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</si>
  <si>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</si>
  <si>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</si>
  <si>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</si>
  <si>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</si>
  <si>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</si>
  <si>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</si>
  <si>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</si>
  <si>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</si>
  <si>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</si>
  <si>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</si>
  <si>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</si>
  <si>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</si>
  <si>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</si>
  <si>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</si>
  <si>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</si>
  <si>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</si>
  <si>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</si>
  <si>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</si>
  <si>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</si>
  <si>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</si>
  <si>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</si>
  <si>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</si>
  <si>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</si>
  <si>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</si>
  <si>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</si>
  <si>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</si>
  <si>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</si>
  <si>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</si>
  <si>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</si>
  <si>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</si>
  <si>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</si>
  <si>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</si>
  <si>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</si>
  <si>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</si>
  <si>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</si>
  <si>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</si>
  <si>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</si>
  <si>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</si>
  <si>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</si>
  <si>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</si>
  <si>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</si>
  <si>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</si>
  <si>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</si>
  <si>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</si>
  <si>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</si>
  <si>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</si>
  <si>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</si>
  <si>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</si>
  <si>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</si>
  <si>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</si>
  <si>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</si>
  <si>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</si>
  <si>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</si>
  <si>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</si>
  <si>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</si>
  <si>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</si>
  <si>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</si>
  <si>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</si>
  <si>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</si>
  <si>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</si>
  <si>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</si>
  <si>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</si>
  <si>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</si>
  <si>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</si>
  <si>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</si>
  <si>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</si>
  <si>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</si>
  <si>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</si>
  <si>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</si>
  <si>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</si>
  <si>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</si>
  <si>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</si>
  <si>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</si>
  <si>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</si>
  <si>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</si>
  <si>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</si>
  <si>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</si>
  <si>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</si>
  <si>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</si>
  <si>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</si>
  <si>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</si>
  <si>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</si>
  <si>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</si>
  <si>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</si>
  <si>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</si>
  <si>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</si>
  <si>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</si>
  <si>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</si>
  <si>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</si>
  <si>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</si>
  <si>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</si>
  <si>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</si>
  <si>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</si>
  <si>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</si>
  <si>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</si>
  <si>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</si>
  <si>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</si>
  <si>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</si>
  <si>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</si>
  <si>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</si>
  <si>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</si>
  <si>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</si>
  <si>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</si>
  <si>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</si>
  <si>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</si>
  <si>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</si>
  <si>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</si>
  <si>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</si>
  <si>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</si>
  <si>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</si>
  <si>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</si>
  <si>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</si>
  <si>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</si>
  <si>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</si>
  <si>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</si>
  <si>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</si>
  <si>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</si>
  <si>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</si>
  <si>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</si>
  <si>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</si>
  <si>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</si>
  <si>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</si>
  <si>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</si>
  <si>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</si>
  <si>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</si>
  <si>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</si>
  <si>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</si>
  <si>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</si>
  <si>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</si>
  <si>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</si>
  <si>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</si>
  <si>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</si>
  <si>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</si>
  <si>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</si>
  <si>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</si>
  <si>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</si>
  <si>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</si>
  <si>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</si>
  <si>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</si>
  <si>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</si>
  <si>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</si>
  <si>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</si>
  <si>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</si>
  <si>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</si>
  <si>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</si>
  <si>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</si>
  <si>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</si>
  <si>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</si>
  <si>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</si>
  <si>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</si>
  <si>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</si>
  <si>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</si>
  <si>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</si>
  <si>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</si>
  <si>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</si>
  <si>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</si>
  <si>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</si>
  <si>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</si>
  <si>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</si>
  <si>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</si>
  <si>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</si>
  <si>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</si>
  <si>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</si>
  <si>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</si>
  <si>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</si>
  <si>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</si>
  <si>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</si>
  <si>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</si>
  <si>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</si>
  <si>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</si>
  <si>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</si>
  <si>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</si>
  <si>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</si>
  <si>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</si>
  <si>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</si>
  <si>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</si>
  <si>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</si>
  <si>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</si>
  <si>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</si>
  <si>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</si>
  <si>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</si>
  <si>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</si>
  <si>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</si>
  <si>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</si>
  <si>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</si>
  <si>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</si>
  <si>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</si>
  <si>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</si>
  <si>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</si>
  <si>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</si>
  <si>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</si>
  <si>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</si>
  <si>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</si>
  <si>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</si>
  <si>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</si>
  <si>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</si>
  <si>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</si>
  <si>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</si>
  <si>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</si>
  <si>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</si>
  <si>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</si>
  <si>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</si>
  <si>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</si>
  <si>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</si>
  <si>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</si>
  <si>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</si>
  <si>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</si>
  <si>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</si>
  <si>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</si>
  <si>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</si>
  <si>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</si>
  <si>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</si>
  <si>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</si>
  <si>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</si>
  <si>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</si>
  <si>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</si>
  <si>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</si>
  <si>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</si>
  <si>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</si>
  <si>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</si>
  <si>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</si>
  <si>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</si>
  <si>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</si>
  <si>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</si>
  <si>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</si>
  <si>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</si>
  <si>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</si>
  <si>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</si>
  <si>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</si>
  <si>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</si>
  <si>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</si>
  <si>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</si>
  <si>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</si>
  <si>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</si>
  <si>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</si>
  <si>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</si>
  <si>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</si>
  <si>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</si>
  <si>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</si>
  <si>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</si>
  <si>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</si>
  <si>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</si>
  <si>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</si>
  <si>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</si>
  <si>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</si>
  <si>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</si>
  <si>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</si>
  <si>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</si>
  <si>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</si>
  <si>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</si>
  <si>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</si>
  <si>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</si>
  <si>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</si>
  <si>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</si>
  <si>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</si>
  <si>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</si>
  <si>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</si>
  <si>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</si>
  <si>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</si>
  <si>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</si>
  <si>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</si>
  <si>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</si>
  <si>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</si>
  <si>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</si>
  <si>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</si>
  <si>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</si>
  <si>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</si>
  <si>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</si>
  <si>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</si>
  <si>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</si>
  <si>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</si>
  <si>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</si>
  <si>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</si>
  <si>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</si>
  <si>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</si>
  <si>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</si>
  <si>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</si>
  <si>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</si>
  <si>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</si>
  <si>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</si>
  <si>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</si>
  <si>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</si>
  <si>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</si>
  <si>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</si>
  <si>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</si>
  <si>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</si>
  <si>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</si>
  <si>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</si>
  <si>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</si>
  <si>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</si>
  <si>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</si>
  <si>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</si>
  <si>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</si>
  <si>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</si>
  <si>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</si>
  <si>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</si>
  <si>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</si>
  <si>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</si>
  <si>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</si>
  <si>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</si>
  <si>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</si>
  <si>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</si>
  <si>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</si>
  <si>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</si>
  <si>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</si>
  <si>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</si>
  <si>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</si>
  <si>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</si>
  <si>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</si>
  <si>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</si>
  <si>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</si>
  <si>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</si>
  <si>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</si>
  <si>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</si>
  <si>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</si>
  <si>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</si>
  <si>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</si>
  <si>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</si>
  <si>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</si>
  <si>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</si>
  <si>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</si>
  <si>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</si>
  <si>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</si>
  <si>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</si>
  <si>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</si>
  <si>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</si>
  <si>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</si>
  <si>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</si>
  <si>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</si>
  <si>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</si>
  <si>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</si>
  <si>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</si>
  <si>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</si>
  <si>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</si>
  <si>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</si>
  <si>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</si>
  <si>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</si>
  <si>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</si>
  <si>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</si>
  <si>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</si>
  <si>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</si>
  <si>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</si>
  <si>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</si>
  <si>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</si>
  <si>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</si>
  <si>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</si>
  <si>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</si>
  <si>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</si>
  <si>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</si>
  <si>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</si>
  <si>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</si>
  <si>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</si>
  <si>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</si>
  <si>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</si>
  <si>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</si>
  <si>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</si>
  <si>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</si>
  <si>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</si>
  <si>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</si>
  <si>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</si>
  <si>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</si>
  <si>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</si>
  <si>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</si>
  <si>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</si>
  <si>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</si>
  <si>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</si>
  <si>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</si>
  <si>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</si>
  <si>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</si>
  <si>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</si>
  <si>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</si>
  <si>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</si>
  <si>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</si>
  <si>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</si>
  <si>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</si>
  <si>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</si>
  <si>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</si>
  <si>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</si>
  <si>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</si>
  <si>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</si>
  <si>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</si>
  <si>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</si>
  <si>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</si>
  <si>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</si>
  <si>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</si>
  <si>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</si>
  <si>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</si>
  <si>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</si>
  <si>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</si>
  <si>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</si>
  <si>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</si>
  <si>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</si>
  <si>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</si>
  <si>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</si>
  <si>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</si>
  <si>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</si>
  <si>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</si>
  <si>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</si>
  <si>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</si>
  <si>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</si>
  <si>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</si>
  <si>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</si>
  <si>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</si>
  <si>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</si>
  <si>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</si>
  <si>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</si>
  <si>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</si>
  <si>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</si>
  <si>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</si>
  <si>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</si>
  <si>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</si>
  <si>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</si>
  <si>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</si>
  <si>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</si>
  <si>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</si>
  <si>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</si>
  <si>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</si>
  <si>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</si>
  <si>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</si>
  <si>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</si>
  <si>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</si>
  <si>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</si>
  <si>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</si>
  <si>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</si>
  <si>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</si>
  <si>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</si>
  <si>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</si>
  <si>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</si>
  <si>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</si>
  <si>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</si>
  <si>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</si>
  <si>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</si>
  <si>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</si>
  <si>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</si>
  <si>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</si>
  <si>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</si>
  <si>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</si>
  <si>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</si>
  <si>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</si>
  <si>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</si>
  <si>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</si>
  <si>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</si>
  <si>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</si>
  <si>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</si>
  <si>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</si>
  <si>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</si>
  <si>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</si>
  <si>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</si>
  <si>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</si>
  <si>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</si>
  <si>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</si>
  <si>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</si>
  <si>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</si>
  <si>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</si>
  <si>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</si>
  <si>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</si>
  <si>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</si>
  <si>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</si>
  <si>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</si>
  <si>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</si>
  <si>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</si>
  <si>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</si>
  <si>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</si>
  <si>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</si>
  <si>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</si>
  <si>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</si>
  <si>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</si>
  <si>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</si>
  <si>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</si>
  <si>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</si>
  <si>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</si>
  <si>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</si>
  <si>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</si>
  <si>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</si>
  <si>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</si>
  <si>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</si>
  <si>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</si>
  <si>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</si>
  <si>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</si>
  <si>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</si>
  <si>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</si>
  <si>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</si>
  <si>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</si>
  <si>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</si>
  <si>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</si>
  <si>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</si>
  <si>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</si>
  <si>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</si>
  <si>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</si>
  <si>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</si>
  <si>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</si>
  <si>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</si>
  <si>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</si>
  <si>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</si>
  <si>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</si>
  <si>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</si>
  <si>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</si>
  <si>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</si>
  <si>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</si>
  <si>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</si>
  <si>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</si>
  <si>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</si>
  <si>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</si>
  <si>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</si>
  <si>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</si>
  <si>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</si>
  <si>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</si>
  <si>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</si>
  <si>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</si>
  <si>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</si>
  <si>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</si>
  <si>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</si>
  <si>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</si>
  <si>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</si>
  <si>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</si>
  <si>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</si>
  <si>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</si>
  <si>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</si>
  <si>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</si>
  <si>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</si>
  <si>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</si>
  <si>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</si>
  <si>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</si>
  <si>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</si>
  <si>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</si>
  <si>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</si>
  <si>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</si>
  <si>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</si>
  <si>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</si>
  <si>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</si>
  <si>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</si>
  <si>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</si>
  <si>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</si>
  <si>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</si>
  <si>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</si>
  <si>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</si>
  <si>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</si>
  <si>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</si>
  <si>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</si>
  <si>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</si>
  <si>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</si>
  <si>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</si>
  <si>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</si>
  <si>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</si>
  <si>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</si>
  <si>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</si>
  <si>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</si>
  <si>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</si>
  <si>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</si>
  <si>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</si>
  <si>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</si>
  <si>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</si>
  <si>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</si>
  <si>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</si>
  <si>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</si>
  <si>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</si>
  <si>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</si>
  <si>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</si>
  <si>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</si>
  <si>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</si>
  <si>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</si>
  <si>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</si>
  <si>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</si>
  <si>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</si>
  <si>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</si>
  <si>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</si>
  <si>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</si>
  <si>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</si>
  <si>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</si>
  <si>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</si>
  <si>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</si>
  <si>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</si>
  <si>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</si>
  <si>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</si>
  <si>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</si>
  <si>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</si>
  <si>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</si>
  <si>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</si>
  <si>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</si>
  <si>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</si>
  <si>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</si>
  <si>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</si>
  <si>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</si>
  <si>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</si>
  <si>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</si>
  <si>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</si>
  <si>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</si>
  <si>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</si>
  <si>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</si>
  <si>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</si>
  <si>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</si>
  <si>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</si>
  <si>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</si>
  <si>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</si>
  <si>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</si>
  <si>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</si>
  <si>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</si>
  <si>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</si>
  <si>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</si>
  <si>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</si>
  <si>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</si>
  <si>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</si>
  <si>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</si>
  <si>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</si>
  <si>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</si>
  <si>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</si>
  <si>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</si>
  <si>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</si>
  <si>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</si>
  <si>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</si>
  <si>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</si>
  <si>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</si>
  <si>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</si>
  <si>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</si>
  <si>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</si>
  <si>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</si>
  <si>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</si>
  <si>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</si>
  <si>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</si>
  <si>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</si>
  <si>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</si>
  <si>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</si>
  <si>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</si>
  <si>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</si>
  <si>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</si>
  <si>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</si>
  <si>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</si>
  <si>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</si>
  <si>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</si>
  <si>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</si>
  <si>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</si>
  <si>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</si>
  <si>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</si>
  <si>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</si>
  <si>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</si>
  <si>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</si>
  <si>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</si>
  <si>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</si>
  <si>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</si>
  <si>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</si>
  <si>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</si>
  <si>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</si>
  <si>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</si>
  <si>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</si>
  <si>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</si>
  <si>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</si>
  <si>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</si>
  <si>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</si>
  <si>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</si>
  <si>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</si>
  <si>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</si>
  <si>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</si>
  <si>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</si>
  <si>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</si>
  <si>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</si>
  <si>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</si>
  <si>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</si>
  <si>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</si>
  <si>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</si>
  <si>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</si>
  <si>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</si>
  <si>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</si>
  <si>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</si>
  <si>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</si>
  <si>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</si>
  <si>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</si>
  <si>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</si>
  <si>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</si>
  <si>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</si>
  <si>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</si>
  <si>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</si>
  <si>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</si>
  <si>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</si>
  <si>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</si>
  <si>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</si>
  <si>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</si>
  <si>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</si>
  <si>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</si>
  <si>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</si>
  <si>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</si>
  <si>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</si>
  <si>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</si>
  <si>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</si>
  <si>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</si>
  <si>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</si>
  <si>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</si>
  <si>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</si>
  <si>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</si>
  <si>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</si>
  <si>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</si>
  <si>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</si>
  <si>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</si>
  <si>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</si>
  <si>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</si>
  <si>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</si>
  <si>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</si>
  <si>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</si>
  <si>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</si>
  <si>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</si>
  <si>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</si>
  <si>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</si>
  <si>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</si>
  <si>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</si>
  <si>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</si>
  <si>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</si>
  <si>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</si>
  <si>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</si>
  <si>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</si>
  <si>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</si>
  <si>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</si>
  <si>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</si>
  <si>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</si>
  <si>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</si>
  <si>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</si>
  <si>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</si>
  <si>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</si>
  <si>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</si>
  <si>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</si>
  <si>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</si>
  <si>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</si>
  <si>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</si>
  <si>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</si>
  <si>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</si>
  <si>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</si>
  <si>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</si>
  <si>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</si>
  <si>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</si>
  <si>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</si>
  <si>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</si>
  <si>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</si>
  <si>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</si>
  <si>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</si>
  <si>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</si>
  <si>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</si>
  <si>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</si>
  <si>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</si>
  <si>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</si>
  <si>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</si>
  <si>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</si>
  <si>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</si>
  <si>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</si>
  <si>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</si>
  <si>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</si>
  <si>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</si>
  <si>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</si>
  <si>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</si>
  <si>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</si>
  <si>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</si>
  <si>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</si>
  <si>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</si>
  <si>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</si>
  <si>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</si>
  <si>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</si>
  <si>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</si>
  <si>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</si>
  <si>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</si>
  <si>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</si>
  <si>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</si>
  <si>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</si>
  <si>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</si>
  <si>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</si>
  <si>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</si>
  <si>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</si>
  <si>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</si>
  <si>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</si>
  <si>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</si>
  <si>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</si>
  <si>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</si>
  <si>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</si>
  <si>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</si>
  <si>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</si>
  <si>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</si>
  <si>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</si>
  <si>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</si>
  <si>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</si>
  <si>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</si>
  <si>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</si>
  <si>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</si>
  <si>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</si>
  <si>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</si>
  <si>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</si>
  <si>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</si>
  <si>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</si>
  <si>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</si>
  <si>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</si>
  <si>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</si>
  <si>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</si>
  <si>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</si>
  <si>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</si>
  <si>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</si>
  <si>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</si>
  <si>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</si>
  <si>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</si>
  <si>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</si>
  <si>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</si>
  <si>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</si>
  <si>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</si>
  <si>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</si>
  <si>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</si>
  <si>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</si>
  <si>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</si>
  <si>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</si>
  <si>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</si>
  <si>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</si>
  <si>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</si>
  <si>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</si>
  <si>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</si>
  <si>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</si>
  <si>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</si>
  <si>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</si>
  <si>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</si>
  <si>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</si>
  <si>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</si>
  <si>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</si>
  <si>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</si>
  <si>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</si>
  <si>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</si>
  <si>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</si>
  <si>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</si>
  <si>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</si>
  <si>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</si>
  <si>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</si>
  <si>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</si>
  <si>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</si>
  <si>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</si>
  <si>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</si>
  <si>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</si>
  <si>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</si>
  <si>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</si>
  <si>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</si>
  <si>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</si>
  <si>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</si>
  <si>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</si>
  <si>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</si>
  <si>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</si>
  <si>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</si>
  <si>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</si>
  <si>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</si>
  <si>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</si>
  <si>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</si>
  <si>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</si>
  <si>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</si>
  <si>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</si>
  <si>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</si>
  <si>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</si>
  <si>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</si>
  <si>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</si>
  <si>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</si>
  <si>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</si>
  <si>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</si>
  <si>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</si>
  <si>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</si>
  <si>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</si>
  <si>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</si>
  <si>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</si>
  <si>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</si>
  <si>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</si>
  <si>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</si>
  <si>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</si>
  <si>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</si>
  <si>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</si>
  <si>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</si>
  <si>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</si>
  <si>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</si>
  <si>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</si>
  <si>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</si>
  <si>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</si>
  <si>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</si>
  <si>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</si>
  <si>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</si>
  <si>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</si>
  <si>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</si>
  <si>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</si>
  <si>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</si>
  <si>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</si>
  <si>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</si>
  <si>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</si>
  <si>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</si>
  <si>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</si>
  <si>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</si>
  <si>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</si>
  <si>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</si>
  <si>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</si>
  <si>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</si>
  <si>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</si>
  <si>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</si>
  <si>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</si>
  <si>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</si>
  <si>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</si>
  <si>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</si>
  <si>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</si>
  <si>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</si>
  <si>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</si>
  <si>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</si>
  <si>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</si>
  <si>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</si>
  <si>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</si>
  <si>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</si>
  <si>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</si>
  <si>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</si>
  <si>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</si>
  <si>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</si>
  <si>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</si>
  <si>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</si>
  <si>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</si>
  <si>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</si>
  <si>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</si>
  <si>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</si>
  <si>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</si>
  <si>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</si>
  <si>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</si>
  <si>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</si>
  <si>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</si>
  <si>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</si>
  <si>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</si>
  <si>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</si>
  <si>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</si>
  <si>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</si>
  <si>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</si>
  <si>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</si>
  <si>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</si>
  <si>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</si>
  <si>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</si>
  <si>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</si>
  <si>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</si>
  <si>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</si>
  <si>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</si>
  <si>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</si>
  <si>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</si>
  <si>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</si>
  <si>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</si>
  <si>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</si>
  <si>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</si>
  <si>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</si>
  <si>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</si>
  <si>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</si>
  <si>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</si>
  <si>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</si>
  <si>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</si>
  <si>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</si>
  <si>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</si>
  <si>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</si>
  <si>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</si>
  <si>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</si>
  <si>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</si>
  <si>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</si>
  <si>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</si>
  <si>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</si>
  <si>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</si>
  <si>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</si>
  <si>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</si>
  <si>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</si>
  <si>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</si>
  <si>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</si>
  <si>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</si>
  <si>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</si>
  <si>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</si>
  <si>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</si>
  <si>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</si>
  <si>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</si>
  <si>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</si>
  <si>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</si>
  <si>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</si>
  <si>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</si>
  <si>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</si>
  <si>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</si>
  <si>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</si>
  <si>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</si>
  <si>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</si>
  <si>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</si>
  <si>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</si>
  <si>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</si>
  <si>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</si>
  <si>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</si>
  <si>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</si>
  <si>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</si>
  <si>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</si>
  <si>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</si>
  <si>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</si>
  <si>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</si>
  <si>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</si>
  <si>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</si>
  <si>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</si>
  <si>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</si>
  <si>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</si>
  <si>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</si>
  <si>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</si>
  <si>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</si>
  <si>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</si>
  <si>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</si>
  <si>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</si>
  <si>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</si>
  <si>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</si>
  <si>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</si>
  <si>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</si>
  <si>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</si>
  <si>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</si>
  <si>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</si>
  <si>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</si>
  <si>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</si>
  <si>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</si>
  <si>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</si>
  <si>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</si>
  <si>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</si>
  <si>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</si>
  <si>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</si>
  <si>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</si>
  <si>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</si>
  <si>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</si>
  <si>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</si>
  <si>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</si>
  <si>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</si>
  <si>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</si>
  <si>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</si>
  <si>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</si>
  <si>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</si>
  <si>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</si>
  <si>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</si>
  <si>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</si>
  <si>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</si>
  <si>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</si>
  <si>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</si>
  <si>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</si>
  <si>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</si>
  <si>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</si>
  <si>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</si>
  <si>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</si>
  <si>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</si>
  <si>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</si>
  <si>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</si>
  <si>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</si>
  <si>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</si>
  <si>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</si>
  <si>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</si>
  <si>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</si>
  <si>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</si>
  <si>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</si>
  <si>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</si>
  <si>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</si>
  <si>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</si>
  <si>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</si>
  <si>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</si>
  <si>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</si>
  <si>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</si>
  <si>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</si>
  <si>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</si>
  <si>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</si>
  <si>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</si>
  <si>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</si>
  <si>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</si>
  <si>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</si>
  <si>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</si>
  <si>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</si>
  <si>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</si>
  <si>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</si>
  <si>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</si>
  <si>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</si>
  <si>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</si>
  <si>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</si>
  <si>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</si>
  <si>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</si>
  <si>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</si>
  <si>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</si>
  <si>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</si>
  <si>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</si>
  <si>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</si>
  <si>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</si>
  <si>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</si>
  <si>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</si>
  <si>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</si>
  <si>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</si>
  <si>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</si>
  <si>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</si>
  <si>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</si>
  <si>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</si>
  <si>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</si>
  <si>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</si>
  <si>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</si>
  <si>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</si>
  <si>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</si>
  <si>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</si>
  <si>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</si>
  <si>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</si>
  <si>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</si>
  <si>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</si>
  <si>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</si>
  <si>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</si>
  <si>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</si>
  <si>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</si>
  <si>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</si>
  <si>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</si>
  <si>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</si>
  <si>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</si>
  <si>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</si>
  <si>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</si>
  <si>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</si>
  <si>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</si>
  <si>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</si>
  <si>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</si>
  <si>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</si>
  <si>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</si>
  <si>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</si>
  <si>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</si>
  <si>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</si>
  <si>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</si>
  <si>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</si>
  <si>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</si>
  <si>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</si>
  <si>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</si>
  <si>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</si>
  <si>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</si>
  <si>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</si>
  <si>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</si>
  <si>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</si>
  <si>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</si>
  <si>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</si>
  <si>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</si>
  <si>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</si>
  <si>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</si>
  <si>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</si>
  <si>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</si>
  <si>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</si>
  <si>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</si>
  <si>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</si>
  <si>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</si>
  <si>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</si>
  <si>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</si>
  <si>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</si>
  <si>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</si>
  <si>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</si>
  <si>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</si>
  <si>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</si>
  <si>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</si>
  <si>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</si>
  <si>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</si>
  <si>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</si>
  <si>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</si>
  <si>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</si>
  <si>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</si>
  <si>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</si>
  <si>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</si>
  <si>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</si>
  <si>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</si>
  <si>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</si>
  <si>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</si>
  <si>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</si>
  <si>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</si>
  <si>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</si>
  <si>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</si>
  <si>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</si>
  <si>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</si>
  <si>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</si>
  <si>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</si>
  <si>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</si>
  <si>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</si>
  <si>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</si>
  <si>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</si>
  <si>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</si>
  <si>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</si>
  <si>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</si>
  <si>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</si>
  <si>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</si>
  <si>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</si>
  <si>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</si>
  <si>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</si>
  <si>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</si>
  <si>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</si>
  <si>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</si>
  <si>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</si>
  <si>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</si>
  <si>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</si>
  <si>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</si>
  <si>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</si>
  <si>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</si>
  <si>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</si>
  <si>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</si>
  <si>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</si>
  <si>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</si>
  <si>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</si>
  <si>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</si>
  <si>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</si>
  <si>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</si>
  <si>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</si>
  <si>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</si>
  <si>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</si>
  <si>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</si>
  <si>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</si>
  <si>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</si>
  <si>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</si>
  <si>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</si>
  <si>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</si>
  <si>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</si>
  <si>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</si>
  <si>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</si>
  <si>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</si>
  <si>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</si>
  <si>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</si>
  <si>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</si>
  <si>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</si>
  <si>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</si>
  <si>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</si>
  <si>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</si>
  <si>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</si>
  <si>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</si>
  <si>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</si>
  <si>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</si>
  <si>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</si>
  <si>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</si>
  <si>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</si>
  <si>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</si>
  <si>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</si>
  <si>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</si>
  <si>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</si>
  <si>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</si>
  <si>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</si>
  <si>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</si>
  <si>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</si>
  <si>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</si>
  <si>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</si>
  <si>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</si>
  <si>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</si>
  <si>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</si>
  <si>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</si>
  <si>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</si>
  <si>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</si>
  <si>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</si>
  <si>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</si>
  <si>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</si>
  <si>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</si>
  <si>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</si>
  <si>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</si>
  <si>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</si>
  <si>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</si>
  <si>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</si>
  <si>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</si>
  <si>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</si>
  <si>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</si>
  <si>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</si>
  <si>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</si>
  <si>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</si>
  <si>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</si>
  <si>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</si>
  <si>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</si>
  <si>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</si>
  <si>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</si>
  <si>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</si>
  <si>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</si>
  <si>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</si>
  <si>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</si>
  <si>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</si>
  <si>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</si>
  <si>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</si>
  <si>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</si>
  <si>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</si>
  <si>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</si>
  <si>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</si>
  <si>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</si>
  <si>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</si>
  <si>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</si>
  <si>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</si>
  <si>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</si>
  <si>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</si>
  <si>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</si>
  <si>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</si>
  <si>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</si>
  <si>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</si>
  <si>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</si>
  <si>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</si>
  <si>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</si>
  <si>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</si>
  <si>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</si>
  <si>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</si>
  <si>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</si>
  <si>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</si>
  <si>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</si>
  <si>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</si>
  <si>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</si>
  <si>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</si>
  <si>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</si>
  <si>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</si>
  <si>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</si>
  <si>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</si>
  <si>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</si>
  <si>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</si>
  <si>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</si>
  <si>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</si>
  <si>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</si>
  <si>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</si>
  <si>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</si>
  <si>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</si>
  <si>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</si>
  <si>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</si>
  <si>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</si>
  <si>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</si>
  <si>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</si>
  <si>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</si>
  <si>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</si>
  <si>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</si>
  <si>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</si>
  <si>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</si>
  <si>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</si>
  <si>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</si>
  <si>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</si>
  <si>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</si>
  <si>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</si>
  <si>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</si>
  <si>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</si>
  <si>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</si>
  <si>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</si>
  <si>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</si>
  <si>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</si>
  <si>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</si>
  <si>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</si>
  <si>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</si>
  <si>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</si>
  <si>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</si>
  <si>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</si>
  <si>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</si>
  <si>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</si>
  <si>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</si>
  <si>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</si>
  <si>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</si>
  <si>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</si>
  <si>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</si>
  <si>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</si>
  <si>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</si>
  <si>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</si>
  <si>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</si>
  <si>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</si>
  <si>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</si>
  <si>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</si>
  <si>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</si>
  <si>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</si>
  <si>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</si>
  <si>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</si>
  <si>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</si>
  <si>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</si>
  <si>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</si>
  <si>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</si>
  <si>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</si>
  <si>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</si>
  <si>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</si>
  <si>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</si>
  <si>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</si>
  <si>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</si>
  <si>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</si>
  <si>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</si>
  <si>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</si>
  <si>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</si>
  <si>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</si>
  <si>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</si>
  <si>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</si>
  <si>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</si>
  <si>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</si>
  <si>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</si>
  <si>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</si>
  <si>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</si>
  <si>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</si>
  <si>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</si>
  <si>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</si>
  <si>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</si>
  <si>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</si>
  <si>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</si>
  <si>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</si>
  <si>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</si>
  <si>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</si>
  <si>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</si>
  <si>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</si>
  <si>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</si>
  <si>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</si>
  <si>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</si>
  <si>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</si>
  <si>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</si>
  <si>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</si>
  <si>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</si>
  <si>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</si>
  <si>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</si>
  <si>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</si>
  <si>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</si>
  <si>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</si>
  <si>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</si>
  <si>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</si>
  <si>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</si>
  <si>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</si>
  <si>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</si>
  <si>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</si>
  <si>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</si>
  <si>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</si>
  <si>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</si>
  <si>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</si>
  <si>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</si>
  <si>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</si>
  <si>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</si>
  <si>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</si>
  <si>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</si>
  <si>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</si>
  <si>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</si>
  <si>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</si>
  <si>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</si>
  <si>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</si>
  <si>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</si>
  <si>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</si>
  <si>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</si>
  <si>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</si>
  <si>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</si>
  <si>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</si>
  <si>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</si>
  <si>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</si>
  <si>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</si>
  <si>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</si>
  <si>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</si>
  <si>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</si>
  <si>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</si>
  <si>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</si>
  <si>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</si>
  <si>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</si>
  <si>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</si>
  <si>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</si>
  <si>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</si>
  <si>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</si>
  <si>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</si>
  <si>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</si>
  <si>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</si>
  <si>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</si>
  <si>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</si>
  <si>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</si>
  <si>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</si>
  <si>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</si>
  <si>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</si>
  <si>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</si>
  <si>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</si>
  <si>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</si>
  <si>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</si>
  <si>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</si>
  <si>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</si>
  <si>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</si>
  <si>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</si>
  <si>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</si>
  <si>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</si>
  <si>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</si>
  <si>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</si>
  <si>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</si>
  <si>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</si>
  <si>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</si>
  <si>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</si>
  <si>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</si>
  <si>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</si>
  <si>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</si>
  <si>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</si>
  <si>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</si>
  <si>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</si>
  <si>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</si>
  <si>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</si>
  <si>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</si>
  <si>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</si>
  <si>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</si>
  <si>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</si>
  <si>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</si>
  <si>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</si>
  <si>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</si>
  <si>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</si>
  <si>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</si>
  <si>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</si>
  <si>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</si>
  <si>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</si>
  <si>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</si>
  <si>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</si>
  <si>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</si>
  <si>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</si>
  <si>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</si>
  <si>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</si>
  <si>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</si>
  <si>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</si>
  <si>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</si>
  <si>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</si>
  <si>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</si>
  <si>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</si>
  <si>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</si>
  <si>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</si>
  <si>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</si>
  <si>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</si>
  <si>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</si>
  <si>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</si>
  <si>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</si>
  <si>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</si>
  <si>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</si>
  <si>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</si>
  <si>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</si>
  <si>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</si>
  <si>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</si>
  <si>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</si>
  <si>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</si>
  <si>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</si>
  <si>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</si>
  <si>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</si>
  <si>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</si>
  <si>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</si>
  <si>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</si>
  <si>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</si>
  <si>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</si>
  <si>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</si>
  <si>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</si>
  <si>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</si>
  <si>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</si>
  <si>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</si>
  <si>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</si>
  <si>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</si>
  <si>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</si>
  <si>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</si>
  <si>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</si>
  <si>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</si>
  <si>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</si>
  <si>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</si>
  <si>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</si>
  <si>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</si>
  <si>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</si>
  <si>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</si>
  <si>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</si>
  <si>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</si>
  <si>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</si>
  <si>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</si>
  <si>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</si>
  <si>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</si>
  <si>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</si>
  <si>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</si>
  <si>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</si>
  <si>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</si>
  <si>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</si>
  <si>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</si>
  <si>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</si>
  <si>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</si>
  <si>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</si>
  <si>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</si>
  <si>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</si>
  <si>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</si>
  <si>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</si>
  <si>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</si>
  <si>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</si>
  <si>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</si>
  <si>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</si>
  <si>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</si>
  <si>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</si>
  <si>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</si>
  <si>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</si>
  <si>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</si>
  <si>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</si>
  <si>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</si>
  <si>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</si>
  <si>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</si>
  <si>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</si>
  <si>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</si>
  <si>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</si>
  <si>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</si>
  <si>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</si>
  <si>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</si>
  <si>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</si>
  <si>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</si>
  <si>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</si>
  <si>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</si>
  <si>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</si>
  <si>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</si>
  <si>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</si>
  <si>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</si>
  <si>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</si>
  <si>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</si>
  <si>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</si>
  <si>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</si>
  <si>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</si>
  <si>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</si>
  <si>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</si>
  <si>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</si>
  <si>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</si>
  <si>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</si>
  <si>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</si>
  <si>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</si>
  <si>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</si>
  <si>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</si>
  <si>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</si>
  <si>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</si>
  <si>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</si>
  <si>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</si>
  <si>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</si>
  <si>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</si>
  <si>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</si>
  <si>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</si>
  <si>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</si>
  <si>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</si>
  <si>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</si>
  <si>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</si>
  <si>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</si>
  <si>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</si>
  <si>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</si>
  <si>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</si>
  <si>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</si>
  <si>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</si>
  <si>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</si>
  <si>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</si>
  <si>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</si>
  <si>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</si>
  <si>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</si>
  <si>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</si>
  <si>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</si>
  <si>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</si>
  <si>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</si>
  <si>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</si>
  <si>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</si>
  <si>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</si>
  <si>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</si>
  <si>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</si>
  <si>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</si>
  <si>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</si>
  <si>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</si>
  <si>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</si>
  <si>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</si>
  <si>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</si>
  <si>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</si>
  <si>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</si>
  <si>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</si>
  <si>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</si>
  <si>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</si>
  <si>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</si>
  <si>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</si>
  <si>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</si>
  <si>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</si>
  <si>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</si>
  <si>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</si>
  <si>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</si>
  <si>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</si>
  <si>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</si>
  <si>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</si>
  <si>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</si>
  <si>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</si>
  <si>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</si>
  <si>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</si>
  <si>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</si>
  <si>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</si>
  <si>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</si>
  <si>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</si>
  <si>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</si>
  <si>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</si>
  <si>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</si>
  <si>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</si>
  <si>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</si>
  <si>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</si>
  <si>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</si>
  <si>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</si>
  <si>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</si>
  <si>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</si>
  <si>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</si>
  <si>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</si>
  <si>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</si>
  <si>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</si>
  <si>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</si>
  <si>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</si>
  <si>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</si>
  <si>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</si>
  <si>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</si>
  <si>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</si>
  <si>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</si>
  <si>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</si>
  <si>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</si>
  <si>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</si>
  <si>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</si>
  <si>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</si>
  <si>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</si>
  <si>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</si>
  <si>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</si>
  <si>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</si>
  <si>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</si>
  <si>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</si>
  <si>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</si>
  <si>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</si>
  <si>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</si>
  <si>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</si>
  <si>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</si>
  <si>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</si>
  <si>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</si>
  <si>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</si>
  <si>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</si>
  <si>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</si>
  <si>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</si>
  <si>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</si>
  <si>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</si>
  <si>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</si>
  <si>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</si>
  <si>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</si>
  <si>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</si>
  <si>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</si>
  <si>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</si>
  <si>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</si>
  <si>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</si>
  <si>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</si>
  <si>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</si>
  <si>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</si>
  <si>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</si>
  <si>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</si>
  <si>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</si>
  <si>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</si>
  <si>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</si>
  <si>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</si>
  <si>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</si>
  <si>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</si>
  <si>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</si>
  <si>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</si>
  <si>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</si>
  <si>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</si>
  <si>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</si>
  <si>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</si>
  <si>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</si>
  <si>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</si>
  <si>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</si>
  <si>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</si>
  <si>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</si>
  <si>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</si>
  <si>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</si>
  <si>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</si>
  <si>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</si>
  <si>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</si>
  <si>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</si>
  <si>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</si>
  <si>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</si>
  <si>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</si>
  <si>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</si>
  <si>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</si>
  <si>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</si>
  <si>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</si>
  <si>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</si>
  <si>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</si>
  <si>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</si>
  <si>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</si>
  <si>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</si>
  <si>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</si>
  <si>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</si>
  <si>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</si>
  <si>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</si>
  <si>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</si>
  <si>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</si>
  <si>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</si>
  <si>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</si>
  <si>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</si>
  <si>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</si>
  <si>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</si>
  <si>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</si>
  <si>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</si>
  <si>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</si>
  <si>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</si>
  <si>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</si>
  <si>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</si>
  <si>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</si>
  <si>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</si>
  <si>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</si>
  <si>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</si>
  <si>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</si>
  <si>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</si>
  <si>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</si>
  <si>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</si>
  <si>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</si>
  <si>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</si>
  <si>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</si>
  <si>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</si>
  <si>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</si>
  <si>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</si>
  <si>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</si>
  <si>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</si>
  <si>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</si>
  <si>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</si>
  <si>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</si>
  <si>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</si>
  <si>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</si>
  <si>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</si>
  <si>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</si>
  <si>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</si>
  <si>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</si>
  <si>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</si>
  <si>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</si>
  <si>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</si>
  <si>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</si>
  <si>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</si>
  <si>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</si>
  <si>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</si>
  <si>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</si>
  <si>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</si>
  <si>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</si>
  <si>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</si>
  <si>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</si>
  <si>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</si>
  <si>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</si>
  <si>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</si>
  <si>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</si>
  <si>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</si>
  <si>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</si>
  <si>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</si>
  <si>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</si>
  <si>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</si>
  <si>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</si>
  <si>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</si>
  <si>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</si>
  <si>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</si>
  <si>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</si>
  <si>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</si>
  <si>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</si>
  <si>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</si>
  <si>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</si>
  <si>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</si>
  <si>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</si>
  <si>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</si>
  <si>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</si>
  <si>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</si>
  <si>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</si>
  <si>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</si>
  <si>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</si>
  <si>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</si>
  <si>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</si>
  <si>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</si>
  <si>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</si>
  <si>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</si>
  <si>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</si>
  <si>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</si>
  <si>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</si>
  <si>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</si>
  <si>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</si>
  <si>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</si>
  <si>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</si>
  <si>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</si>
  <si>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</si>
  <si>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</si>
  <si>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</si>
  <si>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</si>
  <si>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</si>
  <si>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</si>
  <si>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</si>
  <si>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</si>
  <si>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</si>
  <si>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</si>
  <si>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</si>
  <si>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</si>
  <si>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</si>
  <si>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</si>
  <si>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</si>
  <si>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</si>
  <si>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</si>
  <si>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</si>
  <si>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</si>
  <si>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</si>
  <si>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</si>
  <si>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</si>
  <si>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</si>
  <si>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</si>
  <si>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</si>
  <si>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</si>
  <si>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</si>
  <si>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</si>
  <si>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</si>
  <si>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</si>
  <si>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</si>
  <si>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</si>
  <si>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</si>
  <si>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</si>
  <si>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</si>
  <si>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</si>
  <si>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</si>
  <si>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</si>
  <si>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</si>
  <si>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</si>
  <si>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</si>
  <si>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</si>
  <si>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</si>
  <si>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</si>
  <si>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</si>
  <si>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</si>
  <si>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</si>
  <si>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</si>
  <si>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</si>
  <si>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</si>
  <si>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</si>
  <si>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</si>
  <si>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</si>
  <si>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</si>
  <si>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</si>
  <si>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</si>
  <si>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</si>
  <si>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</si>
  <si>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</si>
  <si>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</si>
  <si>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</si>
  <si>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</si>
  <si>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</si>
  <si>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</si>
  <si>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</si>
  <si>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</si>
  <si>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</si>
  <si>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</si>
  <si>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</si>
  <si>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</si>
  <si>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</si>
  <si>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</si>
  <si>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</si>
  <si>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</si>
  <si>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</si>
  <si>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</si>
  <si>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</si>
  <si>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</si>
  <si>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</si>
  <si>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</si>
  <si>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</si>
  <si>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</si>
  <si>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</si>
  <si>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</si>
  <si>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</si>
  <si>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</si>
  <si>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</si>
  <si>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</si>
  <si>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</si>
  <si>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</si>
  <si>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</si>
  <si>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</si>
  <si>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</si>
  <si>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</si>
  <si>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</si>
  <si>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</si>
  <si>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</si>
  <si>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</si>
  <si>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</si>
  <si>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</si>
  <si>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</si>
  <si>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</si>
  <si>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</si>
  <si>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</si>
  <si>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</si>
  <si>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</si>
  <si>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</si>
  <si>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</si>
  <si>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</si>
  <si>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</si>
  <si>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ENTE SSN</t>
  </si>
  <si>
    <t xml:space="preserve">SI 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</si>
  <si>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</si>
  <si>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</si>
  <si>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</si>
  <si>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</si>
  <si>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</si>
  <si>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</si>
  <si>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</si>
  <si>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</si>
  <si>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</si>
  <si>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</si>
  <si>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</si>
  <si>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</si>
  <si>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</si>
  <si>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</si>
  <si>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</si>
  <si>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</si>
  <si>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</si>
  <si>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</si>
  <si>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</si>
  <si>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</si>
  <si>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</si>
  <si>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</si>
  <si>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</si>
  <si>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</si>
  <si>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</si>
  <si>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</si>
  <si>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</si>
  <si>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</si>
  <si>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</si>
  <si>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</si>
  <si>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</si>
  <si>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</si>
  <si>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</si>
  <si>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</si>
  <si>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</si>
  <si>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</si>
  <si>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</si>
  <si>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</si>
  <si>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</si>
  <si>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</si>
  <si>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</si>
  <si>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</si>
  <si>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</si>
  <si>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</si>
  <si>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</si>
  <si>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</si>
  <si>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</si>
  <si>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</si>
  <si>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</si>
  <si>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</si>
  <si>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</si>
  <si>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</si>
  <si>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</si>
  <si>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</si>
  <si>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</si>
  <si>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</si>
  <si>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</si>
  <si>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</si>
  <si>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</si>
  <si>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</si>
  <si>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</si>
  <si>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</si>
  <si>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</si>
  <si>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</si>
  <si>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</si>
  <si>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</si>
  <si>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</si>
  <si>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</si>
  <si>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</si>
  <si>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</si>
  <si>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</si>
  <si>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</si>
  <si>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</si>
  <si>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</si>
  <si>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</si>
  <si>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</si>
  <si>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</si>
  <si>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</si>
  <si>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</si>
  <si>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</si>
  <si>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</si>
  <si>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</si>
  <si>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</si>
  <si>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</si>
  <si>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</si>
  <si>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</si>
  <si>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</si>
  <si>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</si>
  <si>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</si>
  <si>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</si>
  <si>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</si>
  <si>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</si>
  <si>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</si>
  <si>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</si>
  <si>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</si>
  <si>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</si>
  <si>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</si>
  <si>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</si>
  <si>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</si>
  <si>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</si>
  <si>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</si>
  <si>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</si>
  <si>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</si>
  <si>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</si>
  <si>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</si>
  <si>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</si>
  <si>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</si>
  <si>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</si>
  <si>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</si>
  <si>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</si>
  <si>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</si>
  <si>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</si>
  <si>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</si>
  <si>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</si>
  <si>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</si>
  <si>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</si>
  <si>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</si>
  <si>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</si>
  <si>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</si>
  <si>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</si>
  <si>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</si>
  <si>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</si>
  <si>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</si>
  <si>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</si>
  <si>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</si>
  <si>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</si>
  <si>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</si>
  <si>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</si>
  <si>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</si>
  <si>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</si>
  <si>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</si>
  <si>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</si>
  <si>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</si>
  <si>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</si>
  <si>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</si>
  <si>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</si>
  <si>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</si>
  <si>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</si>
  <si>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</si>
  <si>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</si>
  <si>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</si>
  <si>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</si>
  <si>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</si>
  <si>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</si>
  <si>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</si>
  <si>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</si>
  <si>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</si>
  <si>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</si>
  <si>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</si>
  <si>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</si>
  <si>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</si>
  <si>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</si>
  <si>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</si>
  <si>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</si>
  <si>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</si>
  <si>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</si>
  <si>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</si>
  <si>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</si>
  <si>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</si>
  <si>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</si>
  <si>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</si>
  <si>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</si>
  <si>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</si>
  <si>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</si>
  <si>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</si>
  <si>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</si>
  <si>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</si>
  <si>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</si>
  <si>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</si>
  <si>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</si>
  <si>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</si>
  <si>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</si>
  <si>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</si>
  <si>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</si>
  <si>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</si>
  <si>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</si>
  <si>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</si>
  <si>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</si>
  <si>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</si>
  <si>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</si>
  <si>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</si>
  <si>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</si>
  <si>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</si>
  <si>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</si>
  <si>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</si>
  <si>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</si>
  <si>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</si>
  <si>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</si>
  <si>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</si>
  <si>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</si>
  <si>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</si>
  <si>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</si>
  <si>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</si>
  <si>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</si>
  <si>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</si>
  <si>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</si>
  <si>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</si>
  <si>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</si>
  <si>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</si>
  <si>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</si>
  <si>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</si>
  <si>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</si>
  <si>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</si>
  <si>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</si>
  <si>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</si>
  <si>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</si>
  <si>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</si>
  <si>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</si>
  <si>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</si>
  <si>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</si>
  <si>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</si>
  <si>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</si>
  <si>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</si>
  <si>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</si>
  <si>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</si>
  <si>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</si>
  <si>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</si>
  <si>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</si>
  <si>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</si>
  <si>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</si>
  <si>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</si>
  <si>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</si>
  <si>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</si>
  <si>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</si>
  <si>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</si>
  <si>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</si>
  <si>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</si>
  <si>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</si>
  <si>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</si>
  <si>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</si>
  <si>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</si>
  <si>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</si>
  <si>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</si>
  <si>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</si>
  <si>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</si>
  <si>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</si>
  <si>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</si>
  <si>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</si>
  <si>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</si>
  <si>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</si>
  <si>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</si>
  <si>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</si>
  <si>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</si>
  <si>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</si>
  <si>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</si>
  <si>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</si>
  <si>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</si>
  <si>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</si>
  <si>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</si>
  <si>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</si>
  <si>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</si>
  <si>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</si>
  <si>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</si>
  <si>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</si>
  <si>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</si>
  <si>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</si>
  <si>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</si>
  <si>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</si>
  <si>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</si>
  <si>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</si>
  <si>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340ONER.GES</t>
  </si>
  <si>
    <t>340SANZ.AMM</t>
  </si>
  <si>
    <t>305BOLL.MAR</t>
  </si>
  <si>
    <t>305AB.RIVIS</t>
  </si>
  <si>
    <t>Distribuzione farmaci da privato</t>
  </si>
  <si>
    <t>Compenso servizio distribuzione per conto (DPC)</t>
  </si>
  <si>
    <t>(Centesimi di euro)</t>
  </si>
  <si>
    <t>Il Direttore Amministrativo</t>
  </si>
  <si>
    <t>Il Direttore Generale</t>
  </si>
  <si>
    <t>Regione Friuli Venezia Giulia</t>
  </si>
  <si>
    <t>320.200.CRI</t>
  </si>
  <si>
    <t>Costo del personale comparto ruolo ricercatori piramide - tempo indeterminato</t>
  </si>
  <si>
    <t>320C.R.I.FIS</t>
  </si>
  <si>
    <t>320C.R.I.STR</t>
  </si>
  <si>
    <t>320C.R.I.IND</t>
  </si>
  <si>
    <t>320C.R.I.INC</t>
  </si>
  <si>
    <t>320C.R.I.PRE</t>
  </si>
  <si>
    <t>320C.R.I.PRO</t>
  </si>
  <si>
    <t>320C.R.I.CLA</t>
  </si>
  <si>
    <t>320ALTONCRI</t>
  </si>
  <si>
    <t>320C.R.I.TFR</t>
  </si>
  <si>
    <t>320C.R.I.PEN</t>
  </si>
  <si>
    <t>320C.R.I.ALT</t>
  </si>
  <si>
    <t>320C.R.I.ONE</t>
  </si>
  <si>
    <t>320.200.CCI</t>
  </si>
  <si>
    <t>Costo del personale comparto ruolo collaboratori piramide - tempo indeterminato</t>
  </si>
  <si>
    <t>320C.C.I.FIS</t>
  </si>
  <si>
    <t>320C.C.I.STR</t>
  </si>
  <si>
    <t>320C.C.I.IND</t>
  </si>
  <si>
    <t>320C.C.I.INC</t>
  </si>
  <si>
    <t>320C.C.I.PRE</t>
  </si>
  <si>
    <t>320C.C.I.PRO</t>
  </si>
  <si>
    <t>320C.C.I.CLA</t>
  </si>
  <si>
    <t>320ALTONCCI</t>
  </si>
  <si>
    <t>320C.C.I.TFR</t>
  </si>
  <si>
    <t>320C.C.I.PEN</t>
  </si>
  <si>
    <t>320C.C.I.ALT</t>
  </si>
  <si>
    <t>320C.C.I.ONE</t>
  </si>
  <si>
    <t>Costo del personale dirigente ruolo sociosanitario - tempo indeterminato</t>
  </si>
  <si>
    <t>Altre competenze personale dirigente ruolo socio sanitario</t>
  </si>
  <si>
    <t>Costo del personale dirigente ruolo sociosanitario - tempo determinato</t>
  </si>
  <si>
    <t>Costo del personale dirigente ruolo sociosanitario - altro</t>
  </si>
  <si>
    <t>Costo del personale comparto ruolo sociosanitario - altro</t>
  </si>
  <si>
    <t>330.100.DSSI</t>
  </si>
  <si>
    <t>330DSS.I.FIS</t>
  </si>
  <si>
    <t>330DSS.I.POS</t>
  </si>
  <si>
    <t>330DSS.I.RIS</t>
  </si>
  <si>
    <t>330DSS.I.ACC</t>
  </si>
  <si>
    <t>330ALTONDSS.I</t>
  </si>
  <si>
    <t>330DSS.I.TFR</t>
  </si>
  <si>
    <t>330DSS.I.FIP</t>
  </si>
  <si>
    <t>330DSS.I.ALT</t>
  </si>
  <si>
    <t>330DSS.I.ONE</t>
  </si>
  <si>
    <t>330.100.DSS.D</t>
  </si>
  <si>
    <t>330DSS.D.FIS</t>
  </si>
  <si>
    <t>330DSS.D.POS</t>
  </si>
  <si>
    <t>330DSS.D.RIS</t>
  </si>
  <si>
    <t>330DSS.D.ACC</t>
  </si>
  <si>
    <t>330ALTONDSS.D</t>
  </si>
  <si>
    <t>330DSS.D.TFR</t>
  </si>
  <si>
    <t>330DSS.D.FIP</t>
  </si>
  <si>
    <t>330DSS.DALT1</t>
  </si>
  <si>
    <t>330DSS.D.ONE</t>
  </si>
  <si>
    <t>330DSS.ALTRO</t>
  </si>
  <si>
    <t>330CSS.ALTRO</t>
  </si>
  <si>
    <t>Conto  Economico Gestione Sanità</t>
  </si>
  <si>
    <t>Importo 2024 BILANCIO SANITARIO (A+B)</t>
  </si>
  <si>
    <t>Importo 2024 bilancio sanità (A)</t>
  </si>
  <si>
    <t>Importo 2024 bilancio sanità disabilità (B)</t>
  </si>
  <si>
    <t xml:space="preserve">Importo 2023 </t>
  </si>
  <si>
    <t>Importo 2024</t>
  </si>
  <si>
    <t>Importo 2023</t>
  </si>
  <si>
    <t>Variazione
importo 2024 / importo 2023</t>
  </si>
  <si>
    <t>STATO PATRIMONIALE
Attivo</t>
  </si>
  <si>
    <t>Importi: Unità di Euro</t>
  </si>
  <si>
    <t>Anno 2023</t>
  </si>
  <si>
    <t>VARIAZIONE 2023/2022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</si>
  <si>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</si>
  <si>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</si>
  <si>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</si>
  <si>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</si>
  <si>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</si>
  <si>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</si>
  <si>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</si>
  <si>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</si>
  <si>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</si>
  <si>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</si>
  <si>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</si>
  <si>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</si>
  <si>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</si>
  <si>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</si>
  <si>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</si>
  <si>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</si>
  <si>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</si>
  <si>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</si>
  <si>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</si>
  <si>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</si>
  <si>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</si>
  <si>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</si>
  <si>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</si>
  <si>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</si>
  <si>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</si>
  <si>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</si>
  <si>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</si>
  <si>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</si>
  <si>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</si>
  <si>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</si>
  <si>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</si>
  <si>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</si>
  <si>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</si>
  <si>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</si>
  <si>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</si>
  <si>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</si>
  <si>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</si>
  <si>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</si>
  <si>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</si>
  <si>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</si>
  <si>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</si>
  <si>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</si>
  <si>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</si>
  <si>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</si>
  <si>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</si>
  <si>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</si>
  <si>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</si>
  <si>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</si>
  <si>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</si>
  <si>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</si>
  <si>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</si>
  <si>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</si>
  <si>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</si>
  <si>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</si>
  <si>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</si>
  <si>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</si>
  <si>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</si>
  <si>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</si>
  <si>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</si>
  <si>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</si>
  <si>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</si>
  <si>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</si>
  <si>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</si>
  <si>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</si>
  <si>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</si>
  <si>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</si>
  <si>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</si>
  <si>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</si>
  <si>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</si>
  <si>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</si>
  <si>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</si>
  <si>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</si>
  <si>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</si>
  <si>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</si>
  <si>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</si>
  <si>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</si>
  <si>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</si>
  <si>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</si>
  <si>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</si>
  <si>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</si>
  <si>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</si>
  <si>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</si>
  <si>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</si>
  <si>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</si>
  <si>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</si>
  <si>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</si>
  <si>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</si>
  <si>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</si>
  <si>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</si>
  <si>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</si>
  <si>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</si>
  <si>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</si>
  <si>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</si>
  <si>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</si>
  <si>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</si>
  <si>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</si>
  <si>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</si>
  <si>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</si>
  <si>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</si>
  <si>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</si>
  <si>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</si>
  <si>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</si>
  <si>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</si>
  <si>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</si>
  <si>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</si>
  <si>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</si>
  <si>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</si>
  <si>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</si>
  <si>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</si>
  <si>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</si>
  <si>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</si>
  <si>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</si>
  <si>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</si>
  <si>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</si>
  <si>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</si>
  <si>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</si>
  <si>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</si>
  <si>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</si>
  <si>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</si>
  <si>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</si>
  <si>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</si>
  <si>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</si>
  <si>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</si>
  <si>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</si>
  <si>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</si>
  <si>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</si>
  <si>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</si>
  <si>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</si>
  <si>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</si>
  <si>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</si>
  <si>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</si>
  <si>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</si>
  <si>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</si>
  <si>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</si>
  <si>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</si>
  <si>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</si>
  <si>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</si>
  <si>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</si>
  <si>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</si>
  <si>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</si>
  <si>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</si>
  <si>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</si>
  <si>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</si>
  <si>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</si>
  <si>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</si>
  <si>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</si>
  <si>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</si>
  <si>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</si>
  <si>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</si>
  <si>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</si>
  <si>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</si>
  <si>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</si>
  <si>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</si>
  <si>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</si>
  <si>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</si>
  <si>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</si>
  <si>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</si>
  <si>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</si>
  <si>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</si>
  <si>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</si>
  <si>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</si>
  <si>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</si>
  <si>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 xml:space="preserve"> </t>
  </si>
  <si>
    <t>Totale F)</t>
  </si>
  <si>
    <t>SP</t>
  </si>
  <si>
    <t xml:space="preserve">MODELLO DI RILEVAZIONE DELLO STATO PATRIMONIALE 
ENTI DEL SERVIZIO SANITARIO NAZIONALE
</t>
  </si>
  <si>
    <t>OGGETTO DELLA RILEVAZIONE</t>
  </si>
  <si>
    <t xml:space="preserve">            ANNO</t>
  </si>
  <si>
    <t xml:space="preserve">    TRIMESTRE</t>
  </si>
  <si>
    <t xml:space="preserve">    PREVENTIVO</t>
  </si>
  <si>
    <t xml:space="preserve">CONSUNTIVO </t>
  </si>
  <si>
    <t xml:space="preserve">NO  </t>
  </si>
  <si>
    <t>(Centesimo di euro)</t>
  </si>
  <si>
    <t>IMPORTO
2023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</si>
  <si>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</si>
  <si>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</si>
  <si>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</si>
  <si>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</si>
  <si>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</si>
  <si>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</si>
  <si>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</si>
  <si>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</si>
  <si>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</si>
  <si>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</si>
  <si>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</si>
  <si>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 e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</si>
  <si>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</si>
  <si>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</si>
  <si>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</si>
  <si>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</si>
  <si>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</si>
  <si>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</si>
  <si>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</si>
  <si>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</si>
  <si>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</si>
  <si>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</si>
  <si>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</si>
  <si>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</si>
  <si>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</si>
  <si>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</si>
  <si>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</si>
  <si>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</si>
  <si>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</si>
  <si>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</si>
  <si>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</si>
  <si>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</si>
  <si>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</si>
  <si>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</si>
  <si>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</si>
  <si>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</si>
  <si>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</si>
  <si>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</si>
  <si>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</si>
  <si>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</si>
  <si>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</si>
  <si>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</si>
  <si>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</si>
  <si>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</si>
  <si>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</si>
  <si>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</si>
  <si>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</si>
  <si>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</si>
  <si>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</si>
  <si>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</si>
  <si>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</si>
  <si>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</si>
  <si>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</si>
  <si>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</si>
  <si>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</si>
  <si>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</si>
  <si>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</si>
  <si>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</si>
  <si>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</si>
  <si>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</si>
  <si>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</si>
  <si>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</si>
  <si>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</si>
  <si>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</si>
  <si>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</si>
  <si>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</si>
  <si>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</si>
  <si>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</si>
  <si>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</si>
  <si>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</si>
  <si>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</si>
  <si>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</si>
  <si>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</si>
  <si>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</si>
  <si>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</si>
  <si>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</si>
  <si>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</si>
  <si>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</si>
  <si>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</si>
  <si>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</si>
  <si>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</si>
  <si>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</si>
  <si>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</si>
  <si>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</si>
  <si>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</si>
  <si>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</si>
  <si>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</si>
  <si>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</si>
  <si>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</si>
  <si>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</si>
  <si>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</si>
  <si>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</si>
  <si>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</si>
  <si>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</si>
  <si>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</si>
  <si>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</si>
  <si>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</si>
  <si>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</si>
  <si>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</si>
  <si>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</si>
  <si>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</si>
  <si>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</si>
  <si>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</si>
  <si>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</si>
  <si>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</si>
  <si>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</si>
  <si>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</si>
  <si>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</si>
  <si>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</si>
  <si>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</si>
  <si>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</si>
  <si>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</si>
  <si>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</si>
  <si>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</si>
  <si>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</si>
  <si>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</si>
  <si>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</si>
  <si>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</si>
  <si>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</si>
  <si>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</si>
  <si>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</si>
  <si>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</si>
  <si>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</si>
  <si>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</si>
  <si>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</si>
  <si>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</si>
  <si>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</si>
  <si>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</si>
  <si>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</si>
  <si>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</si>
  <si>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</si>
  <si>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</si>
  <si>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</si>
  <si>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</si>
  <si>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</si>
  <si>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</si>
  <si>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</si>
  <si>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</si>
  <si>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</si>
  <si>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</si>
  <si>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</si>
  <si>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</si>
  <si>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</si>
  <si>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</si>
  <si>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</si>
  <si>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</si>
  <si>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</si>
  <si>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</si>
  <si>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</si>
  <si>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>A.III.2.b.1) Titoli di Stato</t>
  </si>
  <si>
    <t>AAA740</t>
  </si>
  <si>
    <t>A.III.2.b.2) Altre Obbligazioni</t>
  </si>
  <si>
    <t>AAA750</t>
  </si>
  <si>
    <t>A.III.2.b.3) Titoli azionari quotati in Borsa</t>
  </si>
  <si>
    <t>AAA760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</si>
  <si>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</si>
  <si>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</si>
  <si>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</si>
  <si>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</si>
  <si>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</si>
  <si>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</si>
  <si>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</si>
  <si>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</si>
  <si>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</si>
  <si>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ABA030</t>
  </si>
  <si>
    <t>B.I.1.b) Sangue ed emocomponenti</t>
  </si>
  <si>
    <t>ABA040</t>
  </si>
  <si>
    <t>B.I.1.c) Dispositivi medici</t>
  </si>
  <si>
    <t>ABA050</t>
  </si>
  <si>
    <t>B.I.1.d) Prodotti dietetici</t>
  </si>
  <si>
    <t>ABA060</t>
  </si>
  <si>
    <t>B.I.1.e) Materiali per la profilassi (vaccini)</t>
  </si>
  <si>
    <t>ABA070</t>
  </si>
  <si>
    <t>B.I.1.f) Prodotti chimici</t>
  </si>
  <si>
    <t>ABA080</t>
  </si>
  <si>
    <t>B.I.1.g) Materiali e prodotti per uso veterinario</t>
  </si>
  <si>
    <t>ABA090</t>
  </si>
  <si>
    <t>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</si>
  <si>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</si>
  <si>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</si>
  <si>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</si>
  <si>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</si>
  <si>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</si>
  <si>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>B.I.2.a) Prodotti alimentari</t>
  </si>
  <si>
    <t>ABA130</t>
  </si>
  <si>
    <t>B.I.2.b) Materiali di guardaroba, di pulizia, e di convivenza in genere</t>
  </si>
  <si>
    <t>ABA140</t>
  </si>
  <si>
    <t>B.I.2.c) Combustibili, carburanti e lubrificanti</t>
  </si>
  <si>
    <t>ABA150</t>
  </si>
  <si>
    <t>B.I.2.d) Supporti informatici e cancelleria</t>
  </si>
  <si>
    <t>ABA160</t>
  </si>
  <si>
    <t>B.I.2.e) Materiale per la manutenzione</t>
  </si>
  <si>
    <t>ABA170</t>
  </si>
  <si>
    <t>B.I.2.f) Altri beni e prodotti non sanitari</t>
  </si>
  <si>
    <t>ABA180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</si>
  <si>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</si>
  <si>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</si>
  <si>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</si>
  <si>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</si>
  <si>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</si>
  <si>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ABA201</t>
  </si>
  <si>
    <t>B.II.1.a) Crediti v/Stato per spesa corrente - FSN indistinto</t>
  </si>
  <si>
    <t>ABA220</t>
  </si>
  <si>
    <t>B.II.1.b) Crediti v/Stato per spesa corrente - FSN vincolato</t>
  </si>
  <si>
    <t>ABA230</t>
  </si>
  <si>
    <t>B.II.1.c) Crediti v/Stato per mobilità attiva extraregionale</t>
  </si>
  <si>
    <t>ABA240</t>
  </si>
  <si>
    <t>B.II.1.d) Crediti v/Stato per mobilità attiva internazionale</t>
  </si>
  <si>
    <t>ABA250</t>
  </si>
  <si>
    <t>B.II.1.e) Crediti v/Stato per acconto quota fabbisogno sanitario regionale standard</t>
  </si>
  <si>
    <t>ABA260</t>
  </si>
  <si>
    <t>B.II.1.f) Crediti v/Stato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</si>
  <si>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</si>
  <si>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</si>
  <si>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</si>
  <si>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</si>
  <si>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</si>
  <si>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</si>
  <si>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</si>
  <si>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</si>
  <si>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</si>
  <si>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</si>
  <si>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</si>
  <si>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</si>
  <si>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</si>
  <si>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</si>
  <si>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</si>
  <si>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</si>
  <si>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</si>
  <si>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</si>
  <si>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</si>
  <si>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</si>
  <si>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</si>
  <si>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</si>
  <si>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</si>
  <si>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</si>
  <si>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>B.II.2.a.1) Crediti v/Regione o Provincia Autonoma per quota FSR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</si>
  <si>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</si>
  <si>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</si>
  <si>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</si>
  <si>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</si>
  <si>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</si>
  <si>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</si>
  <si>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</si>
  <si>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</si>
  <si>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</si>
  <si>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</si>
  <si>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</si>
  <si>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</si>
  <si>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</si>
  <si>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</si>
  <si>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</si>
  <si>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</si>
  <si>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</si>
  <si>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</si>
  <si>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</si>
  <si>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</si>
  <si>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</si>
  <si>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</si>
  <si>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</si>
  <si>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dotazione</t>
  </si>
  <si>
    <t>ABA500</t>
  </si>
  <si>
    <t>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</si>
  <si>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</si>
  <si>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</si>
  <si>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</si>
  <si>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</si>
  <si>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</si>
  <si>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</si>
  <si>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</si>
  <si>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</si>
  <si>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</si>
  <si>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</si>
  <si>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</si>
  <si>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</si>
  <si>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</si>
  <si>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</si>
  <si>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</si>
  <si>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</si>
  <si>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</si>
  <si>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</si>
  <si>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</si>
  <si>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</si>
  <si>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</si>
  <si>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</si>
  <si>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</si>
  <si>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</si>
  <si>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</si>
  <si>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</si>
  <si>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</si>
  <si>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</si>
  <si>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</si>
  <si>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</si>
  <si>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</si>
  <si>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</si>
  <si>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</si>
  <si>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</si>
  <si>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</si>
  <si>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</si>
  <si>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</si>
  <si>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</si>
  <si>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</si>
  <si>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</si>
  <si>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</si>
  <si>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</si>
  <si>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</si>
  <si>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</si>
  <si>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</si>
  <si>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</si>
  <si>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</si>
  <si>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</si>
  <si>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</si>
  <si>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</si>
  <si>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</si>
  <si>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</si>
  <si>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</si>
  <si>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</si>
  <si>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</si>
  <si>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(diverse)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</si>
  <si>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</si>
  <si>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</si>
  <si>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</si>
  <si>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</si>
  <si>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</si>
  <si>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</si>
  <si>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</si>
  <si>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</si>
  <si>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</si>
  <si>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</si>
  <si>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ABA740</t>
  </si>
  <si>
    <t>B.III.2) Altri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</si>
  <si>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</si>
  <si>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</si>
  <si>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</si>
  <si>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</si>
  <si>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</si>
  <si>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</si>
  <si>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</si>
  <si>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</si>
  <si>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</si>
  <si>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</si>
  <si>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</si>
  <si>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</si>
  <si>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</si>
  <si>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>C.I) RATEI ATTIVI</t>
  </si>
  <si>
    <t>ACA010</t>
  </si>
  <si>
    <t>C.I.1) Ratei attivi</t>
  </si>
  <si>
    <t>ACA020</t>
  </si>
  <si>
    <t>C.I.2) Ratei attivi v/Aziende sanitarie pubbliche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</si>
  <si>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</si>
  <si>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</si>
  <si>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</si>
  <si>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</si>
  <si>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</si>
  <si>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</si>
  <si>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</si>
  <si>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</si>
  <si>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</si>
  <si>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</si>
  <si>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</si>
  <si>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</si>
  <si>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ADA010</t>
  </si>
  <si>
    <t>E.II) DEPOSITI CAUZIONALI</t>
  </si>
  <si>
    <t>ADA020</t>
  </si>
  <si>
    <t>E.III)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</si>
  <si>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</si>
  <si>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</si>
  <si>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</si>
  <si>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</si>
  <si>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</si>
  <si>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</si>
  <si>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</si>
  <si>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</si>
  <si>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</si>
  <si>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</si>
  <si>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</si>
  <si>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</si>
  <si>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</si>
  <si>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</si>
  <si>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</si>
  <si>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</si>
  <si>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</si>
  <si>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</si>
  <si>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</si>
  <si>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</si>
  <si>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</si>
  <si>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</si>
  <si>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</si>
  <si>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</si>
  <si>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</si>
  <si>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</si>
  <si>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</si>
  <si>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</si>
  <si>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</si>
  <si>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</si>
  <si>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</si>
  <si>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</si>
  <si>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</si>
  <si>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</si>
  <si>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</si>
  <si>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</si>
  <si>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</si>
  <si>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</si>
  <si>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</si>
  <si>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</si>
  <si>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</si>
  <si>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</si>
  <si>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</si>
  <si>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</si>
  <si>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</si>
  <si>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</si>
  <si>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</si>
  <si>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</si>
  <si>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</si>
  <si>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</si>
  <si>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</si>
  <si>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</si>
  <si>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</si>
  <si>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</si>
  <si>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</si>
  <si>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</si>
  <si>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</si>
  <si>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</si>
  <si>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</si>
  <si>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</si>
  <si>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</si>
  <si>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</si>
  <si>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</si>
  <si>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</si>
  <si>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</si>
  <si>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</si>
  <si>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</si>
  <si>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</si>
  <si>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</si>
  <si>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</si>
  <si>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</si>
  <si>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</si>
  <si>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</si>
  <si>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</si>
  <si>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</si>
  <si>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</si>
  <si>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</si>
  <si>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</si>
  <si>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</si>
  <si>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</si>
  <si>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</si>
  <si>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</si>
  <si>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</si>
  <si>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Fondo finanziamento sanitario aggiuntivo corrente extra LEA</t>
  </si>
  <si>
    <t>PBA130</t>
  </si>
  <si>
    <t>B.III.6) Fondo finanziamento per ricerca</t>
  </si>
  <si>
    <t>PBA140</t>
  </si>
  <si>
    <t>B.III.7)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</si>
  <si>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</si>
  <si>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</si>
  <si>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</si>
  <si>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</si>
  <si>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</si>
  <si>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</si>
  <si>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</si>
  <si>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</si>
  <si>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</si>
  <si>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</si>
  <si>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</si>
  <si>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</si>
  <si>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</si>
  <si>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</si>
  <si>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</si>
  <si>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ALTRI FONDI PER ONERI E SPESE</t>
  </si>
  <si>
    <t>PBA210</t>
  </si>
  <si>
    <t>B.V.1) Fondi integrativi pensione</t>
  </si>
  <si>
    <t>PBA220</t>
  </si>
  <si>
    <t>B.V.2) Fondi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</si>
  <si>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</si>
  <si>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</si>
  <si>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</si>
  <si>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</si>
  <si>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</si>
  <si>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</si>
  <si>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</si>
  <si>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</si>
  <si>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</si>
  <si>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</si>
  <si>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</si>
  <si>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</si>
  <si>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</si>
  <si>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</si>
  <si>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PCA010</t>
  </si>
  <si>
    <t>C.II) FONDO PER TRATTAMENTO DI FINE RAPPORTO DIPENDENTI</t>
  </si>
  <si>
    <t>PCA020</t>
  </si>
  <si>
    <t>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</si>
  <si>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</si>
  <si>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</si>
  <si>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</si>
  <si>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</si>
  <si>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</si>
  <si>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</si>
  <si>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</si>
  <si>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</si>
  <si>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</si>
  <si>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</si>
  <si>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</si>
  <si>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</si>
  <si>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</si>
  <si>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</si>
  <si>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</si>
  <si>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</si>
  <si>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</si>
  <si>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</si>
  <si>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</si>
  <si>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</si>
  <si>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</si>
  <si>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</si>
  <si>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</si>
  <si>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</si>
  <si>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</si>
  <si>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</si>
  <si>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</si>
  <si>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</si>
  <si>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</si>
  <si>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</si>
  <si>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</si>
  <si>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</si>
  <si>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</si>
  <si>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</si>
  <si>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</si>
  <si>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</si>
  <si>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</si>
  <si>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</si>
  <si>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</si>
  <si>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</si>
  <si>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</si>
  <si>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</si>
  <si>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</si>
  <si>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</si>
  <si>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</si>
  <si>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</si>
  <si>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</si>
  <si>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</si>
  <si>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</si>
  <si>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</si>
  <si>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</si>
  <si>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</si>
  <si>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</si>
  <si>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</si>
  <si>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</si>
  <si>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</si>
  <si>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</si>
  <si>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</si>
  <si>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</si>
  <si>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</si>
  <si>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</si>
  <si>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</si>
  <si>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</si>
  <si>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</si>
  <si>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</si>
  <si>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</si>
  <si>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</si>
  <si>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</si>
  <si>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</si>
  <si>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</si>
  <si>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</si>
  <si>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</si>
  <si>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</si>
  <si>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</si>
  <si>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</si>
  <si>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</si>
  <si>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</si>
  <si>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</si>
  <si>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</si>
  <si>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</si>
  <si>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</si>
  <si>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</si>
  <si>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</si>
  <si>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</si>
  <si>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</si>
  <si>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</si>
  <si>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</si>
  <si>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</si>
  <si>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</si>
  <si>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</si>
  <si>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</si>
  <si>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</si>
  <si>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</si>
  <si>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</si>
  <si>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</si>
  <si>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</si>
  <si>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</si>
  <si>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</si>
  <si>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</si>
  <si>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</si>
  <si>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</si>
  <si>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</si>
  <si>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</si>
  <si>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</si>
  <si>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</si>
  <si>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</si>
  <si>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</si>
  <si>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</si>
  <si>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</si>
  <si>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</si>
  <si>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</si>
  <si>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</si>
  <si>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</si>
  <si>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</si>
  <si>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</si>
  <si>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</si>
  <si>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</si>
  <si>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</si>
  <si>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</si>
  <si>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</si>
  <si>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</si>
  <si>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</si>
  <si>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</si>
  <si>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</si>
  <si>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</si>
  <si>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</si>
  <si>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</si>
  <si>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</si>
  <si>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</si>
  <si>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</si>
  <si>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</si>
  <si>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</si>
  <si>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</si>
  <si>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</si>
  <si>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</si>
  <si>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</si>
  <si>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</si>
  <si>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</si>
  <si>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</si>
  <si>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</si>
  <si>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</si>
  <si>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</si>
  <si>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</si>
  <si>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</si>
  <si>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Stato Patrimoniale Attivo</t>
  </si>
  <si>
    <t>CODICE VOCE 
SP Ministeriale</t>
  </si>
  <si>
    <t>Importo
2023</t>
  </si>
  <si>
    <t>IMMOBILIZZAZIONI IMMATERIALI</t>
  </si>
  <si>
    <t>Costi di impianto e di ampliamento</t>
  </si>
  <si>
    <t>Costi di ricerca e sviluppo</t>
  </si>
  <si>
    <t>Diritti di brevetto e diritti di utilizzazione delle opere d'ingegno</t>
  </si>
  <si>
    <t>Diritti di brevetto e diritti di utilizzazione delle opere d'ingegno - derivanti dall'attività di ricerca</t>
  </si>
  <si>
    <t>Diritti di brevetto e diritti di utilizzazione delle opere d'ingegno - altri</t>
  </si>
  <si>
    <t>Concessioni, licenze, marchi e diritti simili</t>
  </si>
  <si>
    <t>Migliorie su beni di terzi</t>
  </si>
  <si>
    <t>Pubblicità</t>
  </si>
  <si>
    <t>IMMOBILIZZAZIONI MATERIALI</t>
  </si>
  <si>
    <t>IMMOBILIZZAZIONI FINANZIARIE</t>
  </si>
  <si>
    <t>per contributi in conto capitale su gestioni pregresse (ASSR e altri)</t>
  </si>
  <si>
    <t>per contributi in conto capitale su gestioni liquidatorie (ASSR e altri)</t>
  </si>
  <si>
    <t>Altri crediti (ASSR e altri)</t>
  </si>
  <si>
    <t>Titoli di Stato</t>
  </si>
  <si>
    <t>Altre Obbligazioni</t>
  </si>
  <si>
    <t>Titoli azionari quotati in Borsa</t>
  </si>
  <si>
    <t>Titoli diversi</t>
  </si>
  <si>
    <t>RIMANENZE</t>
  </si>
  <si>
    <t>Acconti per acquisto di beni e prodotti sanitari</t>
  </si>
  <si>
    <t>Materiali di guardaroba, di pulizia, e di convivenza in genere</t>
  </si>
  <si>
    <t>Acconti per acquisto di beni e prodotti non sanitari</t>
  </si>
  <si>
    <t xml:space="preserve">CREDITI </t>
  </si>
  <si>
    <t>Crediti v/Stato per spesa corrente - FSN indistinto</t>
  </si>
  <si>
    <t>Crediti v/Stato per spesa corrente - FSN vincolato</t>
  </si>
  <si>
    <t>Crediti v/Stato per mobilità attiva extraregionale</t>
  </si>
  <si>
    <t>Crediti v/Stato per mobilità attiva internazionale</t>
  </si>
  <si>
    <t>Crediti v/Stato per acconto quota fabbisogno sanitario regionale standard</t>
  </si>
  <si>
    <t>Crediti v/Stato per finanziamento sanitario aggiuntivo corrente</t>
  </si>
  <si>
    <t>Crediti v/Stato per spesa corrente - altro</t>
  </si>
  <si>
    <t>Crediti per fatture e ricevute da emettere</t>
  </si>
  <si>
    <t>Note credito da ricevere/note debito da emettere</t>
  </si>
  <si>
    <t>Crediti v/Stato per spesa corrente per STP (ex D.lgs. 286/98)</t>
  </si>
  <si>
    <t>Crediti v/Stato per finanziamenti per investimenti</t>
  </si>
  <si>
    <t>Crediti v/Stato per ricerca corrente - Ministero della Salute</t>
  </si>
  <si>
    <t>Crediti v/Stato per ricerca finalizzata - Ministero della Salute</t>
  </si>
  <si>
    <t>Crediti verso ministero dell'università</t>
  </si>
  <si>
    <t>Crediti verso ministero della difesa</t>
  </si>
  <si>
    <t xml:space="preserve">Crediti verso altre Amministrazioni centrali </t>
  </si>
  <si>
    <t>Crediti v/Stato per ricerca - finanziamenti per investimenti</t>
  </si>
  <si>
    <t>Crediti verso prefetture</t>
  </si>
  <si>
    <t>Note di credito da emettere</t>
  </si>
  <si>
    <t>Crediti v/Regione o Provincia Autonoma per quota FSR</t>
  </si>
  <si>
    <t>Crediti v/Regione o Provincia Autonoma per mobilità attiva intraregionale</t>
  </si>
  <si>
    <t>Crediti v/Regione o Provincia Autonoma per mobilità attiva extraregionale</t>
  </si>
  <si>
    <t>Crediti v/Regione o Provincia Autonoma per acconto quota FSR</t>
  </si>
  <si>
    <t>Crediti v/Regione o Provincia Autonoma per finanziamento sanitario aggiuntivo corrente LEA</t>
  </si>
  <si>
    <t>Crediti v/Regione o Provincia Autonoma per finanziamento sanitario aggiuntivo corrente extra LEA</t>
  </si>
  <si>
    <t>Crediti v/Regione o Provincia Autonoma per spesa corrente - altro</t>
  </si>
  <si>
    <t>Crediti v/Regione o Provincia Autonoma per spesa corrente - STP (ex D.lgs. 286/98)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</si>
  <si>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</si>
  <si>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</si>
  <si>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</si>
  <si>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</si>
  <si>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Crediti v/Regione o Provincia Autonoma per mobilità attiva internazionale</t>
  </si>
  <si>
    <t>Crediti v/Regione o Provincia Autonoma per versamenti a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</si>
  <si>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</si>
  <si>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</si>
  <si>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anticipazione ripiano disavanzo programmato dai Piani aziendali di cui all'art. 1, comma 528, L. 208/2015</t>
  </si>
  <si>
    <t>Crediti v/Regione per copertura debiti al 31/12/2005</t>
  </si>
  <si>
    <t xml:space="preserve"> Crediti v/Regione o Provincia Autonoma per contributi L. 210/92</t>
  </si>
  <si>
    <t>Crediti v/Regione o Provincia Autonoma per contributi L. 210/92 – aziende sanitarie</t>
  </si>
  <si>
    <t>Crediti v/comuni</t>
  </si>
  <si>
    <t>Crediti v/Aziende sanitarie pubbliche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</si>
  <si>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</si>
  <si>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</si>
  <si>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</si>
  <si>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 xml:space="preserve"> Crediti v/Aziende sanitarie pubbliche della Regione - per altre prestazioni</t>
  </si>
  <si>
    <t>Acconto quota FSR da distribuire</t>
  </si>
  <si>
    <t xml:space="preserve"> Crediti v/Aziende sanitarie pubbliche della Regione per anticipazione ripiano disavanzo programmato dai Piani aziendali di cui all'art. 1, comma 528, L. 208/2015</t>
  </si>
  <si>
    <t>Crediti v/Aziende sanitarie pubbliche Extraregione</t>
  </si>
  <si>
    <t xml:space="preserve">Crediti v/Aziende sanitarie pubbliche della Regione - per Contributi da Aziende sanitarie pubbliche della Regione o Prov. Aut. (extra fondo) </t>
  </si>
  <si>
    <t>Crediti v/enti regionali</t>
  </si>
  <si>
    <t>Crediti v/sperimentazioni gestionali</t>
  </si>
  <si>
    <t>Crediti v/altre partecipate</t>
  </si>
  <si>
    <t>IVA a Credito</t>
  </si>
  <si>
    <t>IVA a Credito per acquisti Infra CEE</t>
  </si>
  <si>
    <t>IVA a Credito per autofatture</t>
  </si>
  <si>
    <t>Imposte varie</t>
  </si>
  <si>
    <t>Crediti v/clienti privati</t>
  </si>
  <si>
    <t>Privati paganti</t>
  </si>
  <si>
    <t>Crediti verso soggetti esteri</t>
  </si>
  <si>
    <t>Altri crediti v/clienti privati</t>
  </si>
  <si>
    <t>Crediti v/gestioni liquidatorie</t>
  </si>
  <si>
    <t>Crediti v/altri soggetti pubblici</t>
  </si>
  <si>
    <t>Crediti verso enti previdenziali per acconti pensione</t>
  </si>
  <si>
    <t>Crediti verso altre amministrazioni pubbliche</t>
  </si>
  <si>
    <t>Crediti v/altri soggetti pubblici per ricerca</t>
  </si>
  <si>
    <t>Altri crediti diversi</t>
  </si>
  <si>
    <t>Crediti verso dipendenti</t>
  </si>
  <si>
    <t>Acconti, anticipi a personale</t>
  </si>
  <si>
    <t>Altri crediti verso personale</t>
  </si>
  <si>
    <t>Acconti a farmacie</t>
  </si>
  <si>
    <t>Acconti a fornitori</t>
  </si>
  <si>
    <t>Note di credito da emettere (diversi)</t>
  </si>
  <si>
    <t>Altri Crediti verso erogatori (privati accreditati e convenzionati) di prestazioni sanitarie</t>
  </si>
  <si>
    <t>Note di credito da emettere  (privati accreditati e convenzionati)</t>
  </si>
  <si>
    <t>ATTIVITA' FINANZIARIE CHE NON COSTITUISCONO IMMOBILIZZAZIONI</t>
  </si>
  <si>
    <t>Partecipazioni in imprese controllate</t>
  </si>
  <si>
    <t>Partecipazioni in imprese collegate</t>
  </si>
  <si>
    <t>Partecipazioni in altre imprese</t>
  </si>
  <si>
    <t>DISPONIBILITA' LIQUIDE</t>
  </si>
  <si>
    <t>Cassa economale</t>
  </si>
  <si>
    <t>Cassa economale 1</t>
  </si>
  <si>
    <t>Cassa economale 2</t>
  </si>
  <si>
    <t>Cassa economale 3</t>
  </si>
  <si>
    <t>Cassa economale 4</t>
  </si>
  <si>
    <t>Cassa economale 5</t>
  </si>
  <si>
    <t>Cassa economale 6</t>
  </si>
  <si>
    <t>Cassa economale 7</t>
  </si>
  <si>
    <t>Cassa economale 8</t>
  </si>
  <si>
    <t>Cassa economale 9</t>
  </si>
  <si>
    <t>Cassa prestazioni</t>
  </si>
  <si>
    <t>Cassa prestazioni 1</t>
  </si>
  <si>
    <t>Cassa prestazioni 2</t>
  </si>
  <si>
    <t>Cassa prestazioni 3</t>
  </si>
  <si>
    <t>Cassa prestazioni 4</t>
  </si>
  <si>
    <t>Cassa prestazioni 5</t>
  </si>
  <si>
    <t>Cassa prestazioni 6</t>
  </si>
  <si>
    <t>Cassa prestazioni 7</t>
  </si>
  <si>
    <t>Cassa prestazioni 8</t>
  </si>
  <si>
    <t>c/c di tesoreria</t>
  </si>
  <si>
    <t>c/c di tesoreria - delega</t>
  </si>
  <si>
    <t>Interessi attivi da liquidare</t>
  </si>
  <si>
    <t>Conto corrente postale 1</t>
  </si>
  <si>
    <t>Conto corrente postale 2</t>
  </si>
  <si>
    <t>Conto corrente postale 3</t>
  </si>
  <si>
    <t>Conto corrente postale 4</t>
  </si>
  <si>
    <t>Deposito affrancatrice1</t>
  </si>
  <si>
    <t>Deposito affrancatrice2</t>
  </si>
  <si>
    <t>Deposito affrancatrice3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</si>
  <si>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</si>
  <si>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</si>
  <si>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</si>
  <si>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</si>
  <si>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</si>
  <si>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</si>
  <si>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</si>
  <si>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</si>
  <si>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</si>
  <si>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</si>
  <si>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</si>
  <si>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</si>
  <si>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</si>
  <si>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ATTIVI</t>
  </si>
  <si>
    <t>Ratei attivi v/Aziende sanitarie pubbliche della Regione</t>
  </si>
  <si>
    <t>RISCONTI ATTIVI</t>
  </si>
  <si>
    <t>Risconti attivi v/Aziende sanitarie pubbliche della Regione</t>
  </si>
  <si>
    <t>TOTALE ATTIVO</t>
  </si>
  <si>
    <t>CANONI DI LEASING ANCORA DA PAGARE</t>
  </si>
  <si>
    <t>DEPOSITI CAUZIONALI</t>
  </si>
  <si>
    <t>BENI IN COMODATO</t>
  </si>
  <si>
    <t>CANONI DI PROJECT FINANCING ANCORA DA PAGARE</t>
  </si>
  <si>
    <t>ALTRI CONTI D'ORDINE</t>
  </si>
  <si>
    <t>Canoni di leasing a scadere</t>
  </si>
  <si>
    <t>Beni di terzi presso l'Azienda</t>
  </si>
  <si>
    <t>Garanzie prestate (fideiussioni, avalli, altre garanzie personali e reali)</t>
  </si>
  <si>
    <t>Garanzie ricevute (fideiussioni, avalli, altre garanzie personali e reali)</t>
  </si>
  <si>
    <t>Beni in contenzioso</t>
  </si>
  <si>
    <t>Altri impegni assunti</t>
  </si>
  <si>
    <t>Stato Patrimoniale Passivo</t>
  </si>
  <si>
    <t>FONDO DI DOTAZIONE</t>
  </si>
  <si>
    <t>FINANZIAMENTI PER INVESTIMENTI</t>
  </si>
  <si>
    <t>Finanziamenti da Stato per investimenti - ricerca</t>
  </si>
  <si>
    <t>Finanziamenti da Stato per investimenti - altro</t>
  </si>
  <si>
    <t>Contributi regionali in c/capitale indistinti</t>
  </si>
  <si>
    <t>Contributi regionali in c/capitale vincolati</t>
  </si>
  <si>
    <t>Contributi per rimborso mutui</t>
  </si>
  <si>
    <t>Altri contributi</t>
  </si>
  <si>
    <t>RISERVE DA DONAZIONI E LASCITI VINCOLATI AD INVESTIMENTI</t>
  </si>
  <si>
    <t>ALTRE RISERVE</t>
  </si>
  <si>
    <t>Riserve da rivalutazioni</t>
  </si>
  <si>
    <t>Riserve da plusvalenze da reinvestire</t>
  </si>
  <si>
    <t>Contributi da reinvestire</t>
  </si>
  <si>
    <t>Riserve da utili di esercizio destinati ad investimenti</t>
  </si>
  <si>
    <t>Riserve diverse</t>
  </si>
  <si>
    <t>CONTRIBUTI PER RIPIANO PERDITE</t>
  </si>
  <si>
    <t>Contributi per copertura debiti al 31/12/2005</t>
  </si>
  <si>
    <r>
      <t>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</si>
  <si>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Altro</t>
  </si>
  <si>
    <t>UTILI (PERDITE) PORTATI A NUOVO</t>
  </si>
  <si>
    <t>UTILE (PERDITA) D'ESERCIZIO</t>
  </si>
  <si>
    <t>FONDI AMMORTAMENTO e FONDI SVALUTAZIONE</t>
  </si>
  <si>
    <t>FONDI AMMORTAMENTO IMMOBILIZZAZIONI IMMATERIALI</t>
  </si>
  <si>
    <t>F.do Amm.to costi di impianto e di ampliamento</t>
  </si>
  <si>
    <t>F.do Amm.to costi di ricerca e sviluppo</t>
  </si>
  <si>
    <t>F.do Amm.to diritti di brevetto e diritti di utilizzazione delle opere d'ingegno - derivanti dall'attività di ricerca</t>
  </si>
  <si>
    <t>F.do Amm.to diritti di brevetto e diritti di utilizzazione delle opere d'ingegno - altri</t>
  </si>
  <si>
    <t>F.do Amm.to concessioni, licenze, marchi e diritti simili</t>
  </si>
  <si>
    <t>F.do Amm.to migliorie su beni di terzi</t>
  </si>
  <si>
    <t>F.do Amm.to pubblicità</t>
  </si>
  <si>
    <t>F.do Amm.to altre immobilizzazioni immateriali</t>
  </si>
  <si>
    <t>FONDI AMMORTAMENTO IMMOBILIZZAZIONI MATERIALI</t>
  </si>
  <si>
    <t>F.do Amm.to Fabbricati non strumentali (disponibili)</t>
  </si>
  <si>
    <t>F.do Amm.to Fabbricati strumentali (indisponibili)</t>
  </si>
  <si>
    <t>F.do Amm.to Impianti e macchinari</t>
  </si>
  <si>
    <t>F.do Amm.to Attrezzature sanitarie e scientifiche</t>
  </si>
  <si>
    <t>F.do Amm.to Mobili e arredi</t>
  </si>
  <si>
    <t>F.do Amm.to Automezzi</t>
  </si>
  <si>
    <t>F.do Amm.to Altre immobilizzazioni materiali</t>
  </si>
  <si>
    <t>FONDI SVALUTAZIONE IMMOBILIZZAZIONI IMMATERIALI</t>
  </si>
  <si>
    <t>F.do Svalut. Costi di impianto e di ampliamento</t>
  </si>
  <si>
    <t>F.do Svalut. Costi di ricerca e sviluppo</t>
  </si>
  <si>
    <t>F.do Svalut. Diritti di brevetto e diritti di utilizzazione delle opere d'ingegno</t>
  </si>
  <si>
    <t>F.do Svalut. Altre immobilizzazioni immateriali</t>
  </si>
  <si>
    <t>FONDI SVALUTAZIONE IMMOBILIZZAZIONI MATERIALI</t>
  </si>
  <si>
    <t>F.do Svalut. Terreni disponibili</t>
  </si>
  <si>
    <t>F.do Svalut. Terreni indisponibili</t>
  </si>
  <si>
    <t>F.do Svalut. Fabbricati disponibili</t>
  </si>
  <si>
    <t>F.do Svalut. Fabbricati indisponibili</t>
  </si>
  <si>
    <t>F.do Svalut. Impianti e macchinari</t>
  </si>
  <si>
    <t>F.do Svalut. Attrezzature sanitarie e scientifiche</t>
  </si>
  <si>
    <t>F.do Svalut. Mobili e arredi</t>
  </si>
  <si>
    <t>F.do Svalut. Automezzi</t>
  </si>
  <si>
    <t>F.do Svalut. Oggetti d'arte</t>
  </si>
  <si>
    <t>F.do Svalut. Altre immobilizzazioni materiali</t>
  </si>
  <si>
    <t>FONDI SVALUTAZIONE CREDITI</t>
  </si>
  <si>
    <t>Fondo svalutazione Crediti finanziari v/Stato</t>
  </si>
  <si>
    <t>Fondo svalutazione Crediti finanziari v/Regione</t>
  </si>
  <si>
    <t>Fondo svalutazione Crediti finanziari v/partecipate</t>
  </si>
  <si>
    <t>Fondo svalutazione Crediti finanziari v/altri</t>
  </si>
  <si>
    <t>Fondo Svalutazione Crediti v/Stato per spesa corrente - FSN indistinto</t>
  </si>
  <si>
    <t>Fondo Svalutazione Crediti v/Stato per spesa corrente - FSN vincolato</t>
  </si>
  <si>
    <t>Fondo Svalutazione Crediti v/Stato per mobilità attiva extraregionale</t>
  </si>
  <si>
    <t>Fondo Svalutazione Crediti v/Stato per mobilità attiva internazionale</t>
  </si>
  <si>
    <t>Fondo Svalutazione Crediti v/Stato per acconto quota fabbisogno sanitario regionale standard</t>
  </si>
  <si>
    <t>Fondo Svalutazione Crediti v/Stato per finanziamento sanitario aggiuntivo corrente</t>
  </si>
  <si>
    <t>Fondo Svalutazione  Crediti v/Stato per spesa corrente - altro</t>
  </si>
  <si>
    <t>Fondo Svalutazione Crediti v/Stato per spesa corrente per STP (ex D.lgs. 286/98)</t>
  </si>
  <si>
    <t>Fondo Svalutazione Crediti v/Stato per finanziamenti per investimenti</t>
  </si>
  <si>
    <t>Fondo Svalutazione Crediti v/Stato per ricerca corrente - Ministero della Salute</t>
  </si>
  <si>
    <t>Fondo Svalutazione Crediti v/Stato per ricerca finalizzata - Ministero della Salute</t>
  </si>
  <si>
    <t xml:space="preserve">Fondo Svalutazione Crediti v/Stato per ricerca - altre Amministrazioni centrali </t>
  </si>
  <si>
    <t>Fondo Svalutazione Crediti v/Stato per ricerca - finanziamenti per investimenti</t>
  </si>
  <si>
    <t>Fondo Svalutazione Crediti v/prefetture</t>
  </si>
  <si>
    <t>Fondo Svalutazione Crediti v/Regione o Provincia Autonoma per quota FSR</t>
  </si>
  <si>
    <t>Fondo Svalutazione  Crediti v/Regione o Provincia Autonoma per mobilità attiva intraregionale</t>
  </si>
  <si>
    <t>Fondo Svalutazione  Crediti v/Regione o Provincia Autonoma per mobilità attiva extraregionale</t>
  </si>
  <si>
    <t>Fondo Svalutazione  Crediti v/Regione o Provincia Autonoma per acconto quota FSR</t>
  </si>
  <si>
    <t>Fondo Svalutazione Crediti v/Regione o Provincia Autonoma per finanziamento sanitario aggiuntivo corrente LEA</t>
  </si>
  <si>
    <t>Fondo Svalutazione  Crediti v/Regione o Provincia Autonoma per finanziamento sanitario aggiuntivo corrente extra LEA</t>
  </si>
  <si>
    <t>Fondo Svalutazione  Crediti v/Regione o Provincia Autonoma per spesa corrente - altro</t>
  </si>
  <si>
    <t>Fondo Svalutazione Crediti v/Regione o Provincia Autonoma per spesa corrente - STP (ex D.lgs. 286/98)</t>
  </si>
  <si>
    <t>Fondo Svalutazione Crediti v/Regione o Provincia Autonoma per ricerca</t>
  </si>
  <si>
    <t>Fondo Svalutazione Crediti v/Regione o Provincia Autonoma per mobilità attiva internazionale</t>
  </si>
  <si>
    <t>Fondo Svalutazione Crediti v/Regione o Provincia Autonoma per finanziamenti per investimenti</t>
  </si>
  <si>
    <t>Fondo Svalutazione Crediti v/Regione o Provincia Autonoma per incremento fondo dotazione</t>
  </si>
  <si>
    <t>Fondo Svalutazione Crediti v/Regione o Provincia Autonoma per ripiano perdite</t>
  </si>
  <si>
    <t>Fondo Svalutazione Crediti v/Regione per copertura debiti al 31/12/2005</t>
  </si>
  <si>
    <t>Fondo Svalutazione Crediti v/Regione o Provincia Autonoma per ricostituzione risorse da investimenti esercizi precedenti</t>
  </si>
  <si>
    <t>Fondo Svalutazione Crediti v/Comuni</t>
  </si>
  <si>
    <t>Fondo Svalutazione Crediti v/Aziende sanitarie pubbliche Extraregione</t>
  </si>
  <si>
    <t>Fondo Svalutazione Crediti v/enti regionali</t>
  </si>
  <si>
    <t>Fondo Svalutazione Crediti v/sperimentazioni gestionali</t>
  </si>
  <si>
    <t>Fondo Svalutazione Crediti v/altre partecipate</t>
  </si>
  <si>
    <t>Fondo Svalutazione Crediti v/Erario</t>
  </si>
  <si>
    <t>Fondo Svalutazione Crediti v/clienti privati</t>
  </si>
  <si>
    <t>Fondo Svalutazione Crediti v/gestioni liquidatorie</t>
  </si>
  <si>
    <t>Fondo Svalutazione Crediti v/altri soggetti pubblici</t>
  </si>
  <si>
    <t>Fondo Svalutazione Crediti v/altri soggetti pubblici per ricerca</t>
  </si>
  <si>
    <t>Fondo Svalutazione Altri crediti diversi</t>
  </si>
  <si>
    <t>Fondo Svalutazione  Altri Crediti verso erogatori (privati accreditati e convenzionati) di prestazioni sanitarie</t>
  </si>
  <si>
    <t>FONDI PER IMPOSTE, ANCHE DIFFERITE</t>
  </si>
  <si>
    <t>FONDI PER RISCHI</t>
  </si>
  <si>
    <t>Fondo rischi per cause civili ed oneri processuali</t>
  </si>
  <si>
    <t>Fondo rischi per contenzioso personale dipendente</t>
  </si>
  <si>
    <t>Fondo rischi connessi all'acquisto di prestazioni sanitarie da privato</t>
  </si>
  <si>
    <t>Fondo rischi per copertura diretta dei rischi (autoassicurazione)</t>
  </si>
  <si>
    <t>Fondo rischi per franchigia assicurativa</t>
  </si>
  <si>
    <t>Fondo rischi per interessi di mora</t>
  </si>
  <si>
    <t>Altri fondi rischi</t>
  </si>
  <si>
    <t>Fondo equo indennizzo</t>
  </si>
  <si>
    <t>Fondo accordi bonari</t>
  </si>
  <si>
    <t>FONDI DA DISTRIBUIRE</t>
  </si>
  <si>
    <t>FSR indistinto da distribuire</t>
  </si>
  <si>
    <t>FSR vincolato da distribuire</t>
  </si>
  <si>
    <t>Fondo per ripiano disavanzi pregressi</t>
  </si>
  <si>
    <t>Fondo finanziamento sanitario aggiuntivo corrente LEA</t>
  </si>
  <si>
    <t>Fondo finanziamento sanitario aggiuntivo corrente extra LEA</t>
  </si>
  <si>
    <t>Fondo finanziamento per ricerca</t>
  </si>
  <si>
    <t>Fondo finanziamento per investimenti</t>
  </si>
  <si>
    <t>Fondo finanziamento sanitario aggiuntivo corrente (extra fondo) - Risorse aggiuntive da bilancio regionale a titolo di copertura extra LEA</t>
  </si>
  <si>
    <t>QUOTE INUTILIZZATE CONTRIBUTI</t>
  </si>
  <si>
    <t xml:space="preserve"> Quote inutilizzate contributi da Regione o Prov. Aut. per quota F.S. indistinto finalizzato</t>
  </si>
  <si>
    <t>Quote inutilizzate contributi da Regione o Prov. Aut. per quota F.S. vincolato</t>
  </si>
  <si>
    <t>Quote inutilizzate contributi vincolati da soggetti pubblici (extra fondo)</t>
  </si>
  <si>
    <t>Quote inutilizzate contributi per ricerca</t>
  </si>
  <si>
    <t>Quote inutilizzate contributi vincolati da privati</t>
  </si>
  <si>
    <t>Quote inutilizzate contributi vincolati da privati - sperimentazioni</t>
  </si>
  <si>
    <t>Quote inutilizzate contributi vincolati da privati - altro</t>
  </si>
  <si>
    <t>ALTRI FONDI PER ONERI E SPESE</t>
  </si>
  <si>
    <t>Fondi integrativi pensione</t>
  </si>
  <si>
    <t>Fondi rinnovi contrattuali</t>
  </si>
  <si>
    <t xml:space="preserve">Fondo rinnovi contrattuali personale dipendente </t>
  </si>
  <si>
    <t>Fondo rinnovi convenzioni MMG/PLS/MCA</t>
  </si>
  <si>
    <t>Fondo rinnovi convenzioni medici Sumai</t>
  </si>
  <si>
    <t>Altri fondi per oneri e spese</t>
  </si>
  <si>
    <t>Fondo oneri personale in quiescienza</t>
  </si>
  <si>
    <t>Altri Fondi incentivi funzioni tecniche Art. 113 D.Lgs 50/2016</t>
  </si>
  <si>
    <t>FONDO PER PREMI OPEROSITA' MEDICI SUMAI</t>
  </si>
  <si>
    <t>FONDO PER TRATTAMENTO DI FINE RAPPORTO DIPENDENTI</t>
  </si>
  <si>
    <t>FONDO PER TRATTAMENTI DI QUIESCENZA E SIMILI</t>
  </si>
  <si>
    <t>DEBITI</t>
  </si>
  <si>
    <t>DEBITI PER MUTUI PASSIVI</t>
  </si>
  <si>
    <t>DEBITI V/STATO</t>
  </si>
  <si>
    <t>Debiti v/Stato per mobilità passiva extraregionale</t>
  </si>
  <si>
    <t>Debiti v/Stato per mobilità passiva internazionale</t>
  </si>
  <si>
    <t>Acconto quota FSR v/Stato</t>
  </si>
  <si>
    <t>Debiti v/Stato per restituzione finanziamenti - per ricerca</t>
  </si>
  <si>
    <t>Altri debiti v/Stato</t>
  </si>
  <si>
    <t xml:space="preserve">Acconti su contributi </t>
  </si>
  <si>
    <t>Note di credito da ricevere</t>
  </si>
  <si>
    <t>Note credito da emettere/note debito da ricevere</t>
  </si>
  <si>
    <t>DEBITI V/REGIONE O PROVINCIA AUTONOMA</t>
  </si>
  <si>
    <t>Debiti v/Regione o Provincia Autonoma per finanziamenti - GSA</t>
  </si>
  <si>
    <t>Debiti v/Regione o Provincia Autonoma per finanziamenti</t>
  </si>
  <si>
    <t>Debiti v/Regione o Provincia Autonoma per mobilità passiva intraregionale</t>
  </si>
  <si>
    <t>Debiti v/Regione o Provincia Autonoma per mobilità passiva extraregionale</t>
  </si>
  <si>
    <t>Debiti v/Regione o Provincia Autonoma per mobilità passiva internazionale</t>
  </si>
  <si>
    <t>Acconto quota FSR da Regione o Provincia Autonoma</t>
  </si>
  <si>
    <t>Acconto da Regione o Provincia Autonoma per anticipazione ripiano disavanzo programmato dai Piani aziendali di cui all'art. 1, comma 528, L. 208/2015</t>
  </si>
  <si>
    <t xml:space="preserve">Debiti v/Regione o Provincia Autonoma per contributi L. 210/92 </t>
  </si>
  <si>
    <t>Altri debiti v/Regione o Provincia Autonoma - GSA</t>
  </si>
  <si>
    <t>Altri debiti v/Regione o Provincia Autonoma</t>
  </si>
  <si>
    <t>Altri debiti v/Regione o Provincia Autonoma - vincolati a progetti europei</t>
  </si>
  <si>
    <t>Altri debiti v/Regione o Provincia Autonoma - vincolati a progetti ministeriali</t>
  </si>
  <si>
    <t>Debiti per fatture ricevute e da ricevere</t>
  </si>
  <si>
    <t>DEBITI V/COMUNI</t>
  </si>
  <si>
    <t xml:space="preserve">Acconti da comuni </t>
  </si>
  <si>
    <t>Debiti verso comuni</t>
  </si>
  <si>
    <t>DEBITI V/AZIENDE SANITARIE PUBBLICHE</t>
  </si>
  <si>
    <t>Debiti v/Aziende sanitarie pubbliche della Regione</t>
  </si>
  <si>
    <t>Debiti v/Aziende sanitarie pubbliche della Regione - per quota FSR</t>
  </si>
  <si>
    <t>Debiti v/Aziende sanitarie pubbliche della Regione - per finanziamento sanitario aggiuntivo corrente LEA</t>
  </si>
  <si>
    <t>Debiti v/Aziende sanitarie pubbliche della Regione - per finanziamento sanitario aggiuntivo corrente extra LEA</t>
  </si>
  <si>
    <t>Debiti v/Aziende sanitarie pubbliche della Regione - per mobilità in compensazione</t>
  </si>
  <si>
    <t>Debiti v/Aziende sanitarie pubbliche della Regione - per mobilità non in compensazione</t>
  </si>
  <si>
    <t>Debiti v/Aziende sanitarie pubbliche della Regione - per altre prestazioni</t>
  </si>
  <si>
    <t>Debiti verso aziende sanitarie della Regione - per altre prestazioni</t>
  </si>
  <si>
    <t>Debiti v/Aziende sanitarie pubbliche della Regione - altre prestazioni per STP</t>
  </si>
  <si>
    <t xml:space="preserve">Debiti v/Aziende sanitarie pubbliche della Regione - per Contributi da Aziende sanitarie pubbliche della Regione o Prov. Aut. (extra fondo) </t>
  </si>
  <si>
    <t xml:space="preserve">Debiti v/Aziende sanitarie pubbliche della Regione - per contributi L. 210/92 </t>
  </si>
  <si>
    <t xml:space="preserve">Debiti v/Aziende sanitarie pubbliche Extraregione </t>
  </si>
  <si>
    <t>Debiti verso aziende sanitarie extra regionali</t>
  </si>
  <si>
    <t>Debiti v/Aziende sanitarie pubbliche della Regione per versamenti c/patrimonio netto</t>
  </si>
  <si>
    <t>Debiti v/Aziende sanitarie pubbliche della Regione per versamenti c/patrimonio netto - finanziamenti per investimenti</t>
  </si>
  <si>
    <t xml:space="preserve"> Debiti v/Aziende sanitarie pubbliche della Regione per versamenti c/patrimonio netto - incremento fondo dotazione</t>
  </si>
  <si>
    <t>Debiti v/Aziende sanitarie pubbliche della Regione per versamenti c/patrimonio netto - ripiano perdite</t>
  </si>
  <si>
    <t>Debiti v/Aziende sanitarie pubbliche della Regione per anticipazione ripiano disavanzo programmato dai Piani aziendali di cui all'art. 1, comma 528, L. 208/2015</t>
  </si>
  <si>
    <t>Debiti v/Aziende sanitarie pubbliche della Regione per versamenti c/patrimonio netto - altro</t>
  </si>
  <si>
    <t>DEBITI V/ SOCIETA' PARTECIPATE E/O ENTI DIPENDENTI DELLA REGIONE</t>
  </si>
  <si>
    <t>Debiti v/enti regionali</t>
  </si>
  <si>
    <t>Debiti v/sperimentazioni gestionali</t>
  </si>
  <si>
    <t>Debiti v/altre partecipate</t>
  </si>
  <si>
    <t>DEBITI V/FORNITORI</t>
  </si>
  <si>
    <t xml:space="preserve">Debiti verso erogatori (privati accreditati e convenzionati) di prestazioni sanitarie </t>
  </si>
  <si>
    <t>Note di credito da ricevere (privati accreditati e convenzionati)</t>
  </si>
  <si>
    <t>Debiti verso altri fornitori</t>
  </si>
  <si>
    <t>Fornitori nazionali</t>
  </si>
  <si>
    <t>Fornitori esteri</t>
  </si>
  <si>
    <t>Assicurazioni</t>
  </si>
  <si>
    <t>Debiti vs farmacie</t>
  </si>
  <si>
    <t>Per trattenute a farmacie</t>
  </si>
  <si>
    <t>Note di credito da ricevere (altri fornitori)</t>
  </si>
  <si>
    <t>DEBITI V/ISTITUTO TESORIERE</t>
  </si>
  <si>
    <t>Anticipazioni</t>
  </si>
  <si>
    <t>Interessi passivi da liquidare</t>
  </si>
  <si>
    <t>DEBITI TRIBUTARI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</si>
  <si>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</si>
  <si>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</si>
  <si>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</si>
  <si>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</si>
  <si>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</si>
  <si>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</si>
  <si>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</si>
  <si>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DEBITI V/ISTITUTI PREVIDENZIALI, ASSISTENZIALI E SICUREZZA SOCIALE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</si>
  <si>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</si>
  <si>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</si>
  <si>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</si>
  <si>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</si>
  <si>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</si>
  <si>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</si>
  <si>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</si>
  <si>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</si>
  <si>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vs/altri istituti di previdenza</t>
  </si>
  <si>
    <t>DEBITI V/ALTRI</t>
  </si>
  <si>
    <t>Debiti v/altri finanziatori</t>
  </si>
  <si>
    <t>Debiti v/dipendenti</t>
  </si>
  <si>
    <t xml:space="preserve">Debiti verso personale dipendente </t>
  </si>
  <si>
    <t>Debiti CCNL da liquidare</t>
  </si>
  <si>
    <t>Debiti v/gestioni liquidatorie</t>
  </si>
  <si>
    <t>Debiti vs gestione stralcio 1</t>
  </si>
  <si>
    <t>Debiti vs gestione stralcio 2</t>
  </si>
  <si>
    <t>Altri debiti diversi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</si>
  <si>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</si>
  <si>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</si>
  <si>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</si>
  <si>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</si>
  <si>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</si>
  <si>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</si>
  <si>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</si>
  <si>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</si>
  <si>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</si>
  <si>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</si>
  <si>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</si>
  <si>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</si>
  <si>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Altri debiti</t>
  </si>
  <si>
    <t>RATEI PASSIVI</t>
  </si>
  <si>
    <t>Ratei passivi v/Aziende sanitarie pubbliche della Regione</t>
  </si>
  <si>
    <t>RISCONTI PASSIVI</t>
  </si>
  <si>
    <t>Risconti passivi v/Aziende sanitarie pubbliche della Regione</t>
  </si>
  <si>
    <t xml:space="preserve"> Risconti passivi - in attuazione dell’art.79, comma 1 sexies lettera c), del D.L. 112/2008, convertito con legge 133/2008 e della legge 23 dicembre 2009 n. 191.</t>
  </si>
  <si>
    <t>TOTALE PASSIVO E PATRIMONIO NETTO</t>
  </si>
  <si>
    <t>CONTI DI RIEPILOGO</t>
  </si>
  <si>
    <t>Stato Patrimoniale di chiusura</t>
  </si>
  <si>
    <t>Stato Patrimoniale di apertura</t>
  </si>
  <si>
    <t>Conto Economico</t>
  </si>
  <si>
    <t>SCHEMA DI RENDICONTO FINANZIARIO</t>
  </si>
  <si>
    <t>ANNO 2023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</si>
  <si>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</si>
  <si>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</si>
  <si>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</si>
  <si>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</si>
  <si>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</si>
  <si>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</si>
  <si>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</si>
  <si>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</si>
  <si>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</si>
  <si>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</si>
  <si>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</si>
  <si>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</si>
  <si>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</si>
  <si>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</si>
  <si>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</si>
  <si>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</si>
  <si>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</si>
  <si>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</si>
  <si>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</si>
  <si>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</si>
  <si>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</si>
  <si>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</si>
  <si>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</si>
  <si>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</si>
  <si>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</si>
  <si>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</si>
  <si>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</si>
  <si>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</si>
  <si>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</si>
  <si>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</si>
  <si>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</si>
  <si>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</si>
  <si>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</si>
  <si>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</si>
  <si>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</si>
  <si>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</si>
  <si>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</si>
  <si>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</si>
  <si>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</si>
  <si>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</si>
  <si>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</si>
  <si>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</si>
  <si>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</si>
  <si>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</si>
  <si>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</si>
  <si>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</si>
  <si>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</si>
  <si>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</si>
  <si>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</si>
  <si>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</si>
  <si>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</si>
  <si>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</si>
  <si>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</si>
  <si>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</si>
  <si>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</si>
  <si>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</si>
  <si>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</si>
  <si>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</si>
  <si>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</si>
  <si>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</si>
  <si>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</si>
  <si>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</si>
  <si>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</si>
  <si>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</si>
  <si>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</si>
  <si>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</si>
  <si>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</si>
  <si>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</si>
  <si>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</si>
  <si>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</si>
  <si>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</si>
  <si>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</si>
  <si>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</si>
  <si>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</si>
  <si>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</si>
  <si>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</si>
  <si>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</si>
  <si>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</si>
  <si>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</si>
  <si>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</si>
  <si>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</si>
  <si>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</si>
  <si>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</si>
  <si>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</si>
  <si>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</si>
  <si>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</si>
  <si>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</si>
  <si>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</si>
  <si>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</si>
  <si>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</si>
  <si>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</si>
  <si>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</si>
  <si>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</si>
  <si>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</si>
  <si>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</si>
  <si>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</si>
  <si>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</si>
  <si>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</si>
  <si>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</si>
  <si>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</si>
  <si>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</si>
  <si>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</si>
  <si>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</si>
  <si>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</si>
  <si>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</si>
  <si>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</si>
  <si>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</si>
  <si>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</si>
  <si>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</si>
  <si>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</si>
  <si>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</si>
  <si>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Anno 2024</t>
  </si>
  <si>
    <t>VARIAZIONE 2024/2023</t>
  </si>
  <si>
    <t>IMPORTO
2024</t>
  </si>
  <si>
    <t>Importo
2024</t>
  </si>
  <si>
    <t>ANNO 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</si>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</sst>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  <numFmt numFmtId="176" formatCode="_-* #,##0_-;\-* #,##0_-;_-* &quot;-&quot;??_-;_-@_-"/>
    <numFmt numFmtId="177" formatCode="_-* #,##0.0\ _€_-;\-* #,##0.0\ _€_-;_-* &quot;-&quot;??\ _€_-;_-@_-"/>
    <numFmt numFmtId="178" formatCode="0.0"/>
    <numFmt numFmtId="179" formatCode="#,##0.00_ ;\-#,##0.00\ "/>
    <numFmt numFmtId="180" formatCode="_ * #,##0.00_ ;_ * \-#,##0.00_ ;_ * &quot;-&quot;??_ ;_ @_ "/>
    <numFmt numFmtId="181" formatCode="_ * #,##0_ ;_ * \-#,##0_ ;_ * &quot;-&quot;??_ ;_ @_ 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rgb="FFFF0000"/>
      <name val="DecimaWE Rg"/>
    </font>
    <font>
      <sz val="9"/>
      <name val="Tahoma"/>
      <family val="2"/>
    </font>
    <font>
      <sz val="8"/>
      <name val="Times New Roman"/>
      <family val="1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sz val="16"/>
      <name val="Tahoma"/>
      <family val="2"/>
    </font>
    <font>
      <sz val="12"/>
      <color theme="0"/>
      <name val="Tahoma"/>
      <family val="2"/>
    </font>
    <font>
      <b/>
      <sz val="16"/>
      <color rgb="FFFF0000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trike/>
      <sz val="10"/>
      <name val="Tahoma"/>
      <family val="2"/>
    </font>
    <font>
      <b/>
      <i/>
      <strike/>
      <sz val="10"/>
      <name val="Tahoma"/>
      <family val="2"/>
    </font>
    <font>
      <sz val="10"/>
      <color indexed="8"/>
      <name val="DecimaWE Rg"/>
    </font>
    <font>
      <b/>
      <sz val="10"/>
      <color indexed="9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36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7" applyNumberFormat="0" applyAlignment="0" applyProtection="0"/>
    <xf numFmtId="0" fontId="23" fillId="0" borderId="48" applyNumberFormat="0" applyFill="0" applyAlignment="0" applyProtection="0"/>
    <xf numFmtId="0" fontId="24" fillId="14" borderId="49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7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0" applyNumberFormat="0" applyAlignment="0" applyProtection="0"/>
    <xf numFmtId="0" fontId="31" fillId="9" borderId="51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2">
      <alignment vertical="center"/>
    </xf>
    <xf numFmtId="49" fontId="7" fillId="20" borderId="52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37" fillId="0" borderId="5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6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60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180" fontId="16" fillId="0" borderId="0" applyFont="0" applyFill="0" applyBorder="0" applyAlignment="0" applyProtection="0"/>
    <xf numFmtId="0" fontId="28" fillId="0" borderId="0"/>
    <xf numFmtId="166" fontId="94" fillId="0" borderId="0"/>
  </cellStyleXfs>
  <cellXfs count="1076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5" fillId="3" borderId="23" xfId="4" applyFont="1" applyFill="1" applyBorder="1" applyAlignment="1">
      <alignment horizontal="center" vertical="center"/>
    </xf>
    <xf numFmtId="0" fontId="45" fillId="3" borderId="24" xfId="4" applyFont="1" applyFill="1" applyBorder="1" applyAlignment="1">
      <alignment horizontal="center" vertical="center"/>
    </xf>
    <xf numFmtId="0" fontId="45" fillId="3" borderId="57" xfId="4" applyFont="1" applyFill="1" applyBorder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5" fillId="3" borderId="58" xfId="4" applyFont="1" applyFill="1" applyBorder="1" applyAlignment="1">
      <alignment horizontal="center" vertical="center"/>
    </xf>
    <xf numFmtId="0" fontId="45" fillId="3" borderId="27" xfId="4" applyFont="1" applyFill="1" applyBorder="1" applyAlignment="1">
      <alignment horizontal="center" vertical="center"/>
    </xf>
    <xf numFmtId="0" fontId="45" fillId="3" borderId="59" xfId="4" applyFont="1" applyFill="1" applyBorder="1" applyAlignment="1">
      <alignment horizontal="center" vertical="center"/>
    </xf>
    <xf numFmtId="0" fontId="47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0" fontId="45" fillId="0" borderId="0" xfId="4" applyFont="1" applyAlignment="1">
      <alignment horizontal="center" vertical="center" wrapText="1"/>
    </xf>
    <xf numFmtId="0" fontId="45" fillId="23" borderId="0" xfId="4" applyFont="1" applyFill="1" applyAlignment="1">
      <alignment horizontal="center" vertical="center" wrapText="1"/>
    </xf>
    <xf numFmtId="0" fontId="49" fillId="24" borderId="0" xfId="4" applyFont="1" applyFill="1" applyAlignment="1">
      <alignment vertical="center"/>
    </xf>
    <xf numFmtId="0" fontId="47" fillId="23" borderId="0" xfId="4" applyFont="1" applyFill="1" applyAlignment="1">
      <alignment vertical="center"/>
    </xf>
    <xf numFmtId="0" fontId="47" fillId="23" borderId="0" xfId="4" applyFont="1" applyFill="1" applyAlignment="1">
      <alignment horizontal="center" vertical="center"/>
    </xf>
    <xf numFmtId="0" fontId="47" fillId="0" borderId="0" xfId="4" applyFont="1" applyAlignment="1">
      <alignment horizontal="center" vertical="center"/>
    </xf>
    <xf numFmtId="164" fontId="44" fillId="23" borderId="0" xfId="116" applyFont="1" applyFill="1" applyAlignment="1">
      <alignment horizontal="center" vertical="center"/>
    </xf>
    <xf numFmtId="0" fontId="42" fillId="25" borderId="30" xfId="4" applyFont="1" applyFill="1" applyBorder="1" applyAlignment="1">
      <alignment horizontal="left" vertical="center"/>
    </xf>
    <xf numFmtId="0" fontId="42" fillId="25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0" fontId="47" fillId="0" borderId="23" xfId="4" applyFont="1" applyBorder="1" applyAlignment="1">
      <alignment horizontal="center" vertical="center"/>
    </xf>
    <xf numFmtId="0" fontId="47" fillId="0" borderId="24" xfId="4" applyFont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0" fontId="47" fillId="23" borderId="57" xfId="4" applyFont="1" applyFill="1" applyBorder="1" applyAlignment="1">
      <alignment horizontal="center" vertical="center"/>
    </xf>
    <xf numFmtId="0" fontId="47" fillId="0" borderId="13" xfId="4" applyFont="1" applyBorder="1" applyAlignment="1">
      <alignment horizontal="center" vertical="center"/>
    </xf>
    <xf numFmtId="0" fontId="47" fillId="23" borderId="37" xfId="4" applyFont="1" applyFill="1" applyBorder="1" applyAlignment="1">
      <alignment horizontal="center" vertical="center"/>
    </xf>
    <xf numFmtId="0" fontId="47" fillId="23" borderId="60" xfId="4" applyFont="1" applyFill="1" applyBorder="1" applyAlignment="1">
      <alignment horizontal="center" vertical="center"/>
    </xf>
    <xf numFmtId="0" fontId="47" fillId="23" borderId="0" xfId="4" applyFont="1" applyFill="1" applyAlignment="1">
      <alignment horizontal="left" vertical="center"/>
    </xf>
    <xf numFmtId="0" fontId="47" fillId="23" borderId="0" xfId="4" applyFont="1" applyFill="1" applyAlignment="1">
      <alignment horizontal="right" vertical="center"/>
    </xf>
    <xf numFmtId="0" fontId="47" fillId="0" borderId="58" xfId="4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7" fillId="23" borderId="59" xfId="4" applyFont="1" applyFill="1" applyBorder="1" applyAlignment="1">
      <alignment horizontal="center" vertical="center"/>
    </xf>
    <xf numFmtId="0" fontId="43" fillId="23" borderId="23" xfId="4" applyFont="1" applyFill="1" applyBorder="1" applyAlignment="1">
      <alignment vertical="center"/>
    </xf>
    <xf numFmtId="0" fontId="42" fillId="0" borderId="24" xfId="4" applyFont="1" applyBorder="1" applyAlignment="1">
      <alignment horizontal="center" vertical="center"/>
    </xf>
    <xf numFmtId="0" fontId="42" fillId="23" borderId="24" xfId="4" applyFont="1" applyFill="1" applyBorder="1" applyAlignment="1">
      <alignment horizontal="center" vertical="center"/>
    </xf>
    <xf numFmtId="0" fontId="43" fillId="23" borderId="13" xfId="4" applyFont="1" applyFill="1" applyBorder="1" applyAlignment="1">
      <alignment vertical="center"/>
    </xf>
    <xf numFmtId="0" fontId="43" fillId="23" borderId="58" xfId="4" applyFont="1" applyFill="1" applyBorder="1" applyAlignment="1">
      <alignment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50" fillId="0" borderId="23" xfId="5" applyFont="1" applyBorder="1" applyAlignment="1">
      <alignment horizontal="center" vertical="center" wrapText="1"/>
    </xf>
    <xf numFmtId="0" fontId="50" fillId="24" borderId="0" xfId="5" applyFont="1" applyFill="1" applyAlignment="1">
      <alignment vertical="center" wrapText="1"/>
    </xf>
    <xf numFmtId="0" fontId="50" fillId="24" borderId="0" xfId="5" applyFont="1" applyFill="1" applyAlignment="1">
      <alignment vertical="center"/>
    </xf>
    <xf numFmtId="0" fontId="52" fillId="0" borderId="0" xfId="4" applyFont="1" applyAlignment="1">
      <alignment vertical="center" wrapText="1"/>
    </xf>
    <xf numFmtId="0" fontId="50" fillId="0" borderId="45" xfId="5" applyFont="1" applyBorder="1" applyAlignment="1">
      <alignment horizontal="center" vertical="center" wrapText="1"/>
    </xf>
    <xf numFmtId="0" fontId="50" fillId="0" borderId="45" xfId="5" applyFont="1" applyBorder="1" applyAlignment="1">
      <alignment horizontal="left" vertical="center" wrapText="1"/>
    </xf>
    <xf numFmtId="164" fontId="53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6" fillId="0" borderId="45" xfId="5" applyFont="1" applyBorder="1" applyAlignment="1">
      <alignment horizontal="center" vertical="center" wrapText="1"/>
    </xf>
    <xf numFmtId="0" fontId="56" fillId="0" borderId="45" xfId="5" applyFont="1" applyBorder="1" applyAlignment="1">
      <alignment horizontal="left" vertical="center" wrapText="1"/>
    </xf>
    <xf numFmtId="0" fontId="55" fillId="0" borderId="45" xfId="5" applyFont="1" applyBorder="1" applyAlignment="1">
      <alignment horizontal="center" vertical="center" wrapText="1"/>
    </xf>
    <xf numFmtId="0" fontId="55" fillId="0" borderId="45" xfId="5" applyFont="1" applyBorder="1" applyAlignment="1">
      <alignment horizontal="left" vertical="center" wrapText="1"/>
    </xf>
    <xf numFmtId="0" fontId="47" fillId="0" borderId="45" xfId="5" applyFont="1" applyBorder="1" applyAlignment="1">
      <alignment horizontal="center" vertical="center" wrapText="1"/>
    </xf>
    <xf numFmtId="0" fontId="47" fillId="0" borderId="45" xfId="5" applyFont="1" applyBorder="1" applyAlignment="1">
      <alignment horizontal="left" vertical="center" wrapText="1"/>
    </xf>
    <xf numFmtId="0" fontId="47" fillId="24" borderId="45" xfId="5" applyFont="1" applyFill="1" applyBorder="1" applyAlignment="1">
      <alignment horizontal="center" vertical="center" wrapText="1"/>
    </xf>
    <xf numFmtId="0" fontId="47" fillId="24" borderId="45" xfId="5" applyFont="1" applyFill="1" applyBorder="1" applyAlignment="1">
      <alignment horizontal="left" vertical="center" wrapText="1"/>
    </xf>
    <xf numFmtId="164" fontId="53" fillId="0" borderId="39" xfId="116" applyFont="1" applyFill="1" applyBorder="1" applyAlignment="1">
      <alignment horizontal="right" vertical="center" wrapText="1"/>
    </xf>
    <xf numFmtId="0" fontId="54" fillId="0" borderId="0" xfId="4" applyFont="1" applyAlignment="1">
      <alignment vertical="center" wrapText="1"/>
    </xf>
    <xf numFmtId="0" fontId="55" fillId="24" borderId="45" xfId="5" applyFont="1" applyFill="1" applyBorder="1" applyAlignment="1">
      <alignment horizontal="center" vertical="center" wrapText="1"/>
    </xf>
    <xf numFmtId="0" fontId="55" fillId="24" borderId="45" xfId="5" applyFont="1" applyFill="1" applyBorder="1" applyAlignment="1">
      <alignment horizontal="left" vertical="center" wrapText="1"/>
    </xf>
    <xf numFmtId="0" fontId="55" fillId="24" borderId="64" xfId="5" applyFont="1" applyFill="1" applyBorder="1" applyAlignment="1">
      <alignment horizontal="left" vertical="center" wrapText="1"/>
    </xf>
    <xf numFmtId="0" fontId="47" fillId="24" borderId="0" xfId="5" applyFont="1" applyFill="1" applyAlignment="1">
      <alignment vertical="center"/>
    </xf>
    <xf numFmtId="0" fontId="47" fillId="24" borderId="0" xfId="4" applyFont="1" applyFill="1" applyAlignment="1">
      <alignment horizontal="center" vertical="center"/>
    </xf>
    <xf numFmtId="0" fontId="47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7" fillId="0" borderId="0" xfId="5" applyFont="1" applyAlignment="1">
      <alignment vertical="center"/>
    </xf>
    <xf numFmtId="0" fontId="47" fillId="0" borderId="0" xfId="4" applyFont="1" applyAlignment="1">
      <alignment vertical="center"/>
    </xf>
    <xf numFmtId="164" fontId="53" fillId="4" borderId="39" xfId="116" applyFont="1" applyFill="1" applyBorder="1" applyAlignment="1">
      <alignment horizontal="right" vertical="center" wrapText="1"/>
    </xf>
    <xf numFmtId="0" fontId="56" fillId="4" borderId="45" xfId="5" applyFont="1" applyFill="1" applyBorder="1" applyAlignment="1">
      <alignment horizontal="center" vertical="center" wrapText="1"/>
    </xf>
    <xf numFmtId="0" fontId="56" fillId="4" borderId="45" xfId="5" applyFont="1" applyFill="1" applyBorder="1" applyAlignment="1">
      <alignment horizontal="left" vertical="center" wrapText="1"/>
    </xf>
    <xf numFmtId="0" fontId="51" fillId="26" borderId="61" xfId="5" applyFont="1" applyFill="1" applyBorder="1" applyAlignment="1">
      <alignment horizontal="center" vertical="center" wrapText="1"/>
    </xf>
    <xf numFmtId="0" fontId="52" fillId="26" borderId="61" xfId="5" applyFont="1" applyFill="1" applyBorder="1" applyAlignment="1">
      <alignment vertical="center" wrapText="1"/>
    </xf>
    <xf numFmtId="164" fontId="53" fillId="26" borderId="62" xfId="116" applyFont="1" applyFill="1" applyBorder="1" applyAlignment="1">
      <alignment horizontal="right" vertical="center" wrapText="1"/>
    </xf>
    <xf numFmtId="0" fontId="50" fillId="27" borderId="45" xfId="5" applyFont="1" applyFill="1" applyBorder="1" applyAlignment="1">
      <alignment horizontal="center" vertical="center" wrapText="1"/>
    </xf>
    <xf numFmtId="0" fontId="50" fillId="27" borderId="45" xfId="5" applyFont="1" applyFill="1" applyBorder="1" applyAlignment="1">
      <alignment horizontal="left" vertical="center" wrapText="1"/>
    </xf>
    <xf numFmtId="164" fontId="53" fillId="27" borderId="39" xfId="116" applyFont="1" applyFill="1" applyBorder="1" applyAlignment="1">
      <alignment horizontal="right" vertical="center" wrapText="1"/>
    </xf>
    <xf numFmtId="0" fontId="50" fillId="28" borderId="45" xfId="5" applyFont="1" applyFill="1" applyBorder="1" applyAlignment="1">
      <alignment horizontal="center" vertical="center" wrapText="1"/>
    </xf>
    <xf numFmtId="0" fontId="50" fillId="28" borderId="45" xfId="5" applyFont="1" applyFill="1" applyBorder="1" applyAlignment="1">
      <alignment horizontal="left" vertical="center" wrapText="1"/>
    </xf>
    <xf numFmtId="164" fontId="53" fillId="28" borderId="39" xfId="116" applyFont="1" applyFill="1" applyBorder="1" applyAlignment="1">
      <alignment horizontal="right" vertical="center" wrapText="1"/>
    </xf>
    <xf numFmtId="0" fontId="55" fillId="29" borderId="45" xfId="5" applyFont="1" applyFill="1" applyBorder="1" applyAlignment="1">
      <alignment horizontal="center" vertical="center" wrapText="1"/>
    </xf>
    <xf numFmtId="0" fontId="55" fillId="29" borderId="45" xfId="5" applyFont="1" applyFill="1" applyBorder="1" applyAlignment="1">
      <alignment horizontal="left" vertical="center" wrapText="1"/>
    </xf>
    <xf numFmtId="164" fontId="53" fillId="29" borderId="39" xfId="116" applyFont="1" applyFill="1" applyBorder="1" applyAlignment="1">
      <alignment horizontal="right" vertical="center" wrapText="1"/>
    </xf>
    <xf numFmtId="0" fontId="47" fillId="30" borderId="45" xfId="5" applyFont="1" applyFill="1" applyBorder="1" applyAlignment="1">
      <alignment horizontal="center" vertical="center" wrapText="1"/>
    </xf>
    <xf numFmtId="0" fontId="47" fillId="30" borderId="45" xfId="5" applyFont="1" applyFill="1" applyBorder="1" applyAlignment="1">
      <alignment horizontal="left" vertical="center" wrapText="1"/>
    </xf>
    <xf numFmtId="164" fontId="53" fillId="30" borderId="39" xfId="116" applyFont="1" applyFill="1" applyBorder="1" applyAlignment="1">
      <alignment horizontal="right" vertical="center" wrapText="1"/>
    </xf>
    <xf numFmtId="0" fontId="55" fillId="30" borderId="45" xfId="5" applyFont="1" applyFill="1" applyBorder="1" applyAlignment="1">
      <alignment horizontal="center" vertical="center" wrapText="1"/>
    </xf>
    <xf numFmtId="0" fontId="55" fillId="30" borderId="45" xfId="5" applyFont="1" applyFill="1" applyBorder="1" applyAlignment="1">
      <alignment horizontal="left" vertical="center" wrapText="1"/>
    </xf>
    <xf numFmtId="164" fontId="59" fillId="30" borderId="39" xfId="116" applyFont="1" applyFill="1" applyBorder="1" applyAlignment="1">
      <alignment horizontal="right" vertical="center" wrapText="1"/>
    </xf>
    <xf numFmtId="164" fontId="53" fillId="31" borderId="39" xfId="116" applyFont="1" applyFill="1" applyBorder="1" applyAlignment="1">
      <alignment horizontal="right" vertical="center" wrapText="1"/>
    </xf>
    <xf numFmtId="0" fontId="47" fillId="26" borderId="45" xfId="5" applyFont="1" applyFill="1" applyBorder="1" applyAlignment="1">
      <alignment horizontal="center" vertical="center" wrapText="1"/>
    </xf>
    <xf numFmtId="0" fontId="50" fillId="26" borderId="45" xfId="5" applyFont="1" applyFill="1" applyBorder="1" applyAlignment="1">
      <alignment horizontal="left" vertical="center" wrapText="1"/>
    </xf>
    <xf numFmtId="164" fontId="53" fillId="26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6" borderId="45" xfId="5" applyFont="1" applyFill="1" applyBorder="1" applyAlignment="1">
      <alignment horizontal="left" vertical="center" wrapText="1"/>
    </xf>
    <xf numFmtId="0" fontId="56" fillId="29" borderId="45" xfId="5" applyFont="1" applyFill="1" applyBorder="1" applyAlignment="1">
      <alignment horizontal="center" vertical="center" wrapText="1"/>
    </xf>
    <xf numFmtId="0" fontId="56" fillId="29" borderId="45" xfId="5" applyFont="1" applyFill="1" applyBorder="1" applyAlignment="1">
      <alignment horizontal="left" vertical="center" wrapText="1"/>
    </xf>
    <xf numFmtId="0" fontId="58" fillId="32" borderId="45" xfId="5" applyFont="1" applyFill="1" applyBorder="1" applyAlignment="1">
      <alignment horizontal="center" vertical="center" wrapText="1"/>
    </xf>
    <xf numFmtId="0" fontId="58" fillId="32" borderId="45" xfId="5" applyFont="1" applyFill="1" applyBorder="1" applyAlignment="1">
      <alignment horizontal="left" vertical="center" wrapText="1"/>
    </xf>
    <xf numFmtId="164" fontId="53" fillId="32" borderId="39" xfId="116" applyFont="1" applyFill="1" applyBorder="1" applyAlignment="1">
      <alignment horizontal="right" vertical="center" wrapText="1"/>
    </xf>
    <xf numFmtId="0" fontId="58" fillId="31" borderId="45" xfId="5" applyFont="1" applyFill="1" applyBorder="1" applyAlignment="1">
      <alignment horizontal="center" vertical="center" wrapText="1"/>
    </xf>
    <xf numFmtId="0" fontId="58" fillId="31" borderId="45" xfId="5" applyFont="1" applyFill="1" applyBorder="1" applyAlignment="1">
      <alignment horizontal="left" vertical="center" wrapText="1"/>
    </xf>
    <xf numFmtId="0" fontId="47" fillId="33" borderId="45" xfId="5" applyFont="1" applyFill="1" applyBorder="1" applyAlignment="1">
      <alignment horizontal="center" vertical="center" wrapText="1"/>
    </xf>
    <xf numFmtId="0" fontId="47" fillId="33" borderId="45" xfId="5" applyFont="1" applyFill="1" applyBorder="1" applyAlignment="1">
      <alignment horizontal="left" vertical="center" wrapText="1"/>
    </xf>
    <xf numFmtId="164" fontId="53" fillId="33" borderId="39" xfId="116" applyFont="1" applyFill="1" applyBorder="1" applyAlignment="1">
      <alignment horizontal="right" vertical="center" wrapText="1"/>
    </xf>
    <xf numFmtId="0" fontId="50" fillId="34" borderId="18" xfId="5" applyFont="1" applyFill="1" applyBorder="1" applyAlignment="1">
      <alignment horizontal="center" vertical="center" wrapText="1"/>
    </xf>
    <xf numFmtId="0" fontId="50" fillId="34" borderId="18" xfId="5" applyFont="1" applyFill="1" applyBorder="1" applyAlignment="1">
      <alignment horizontal="left" vertical="center" wrapText="1"/>
    </xf>
    <xf numFmtId="164" fontId="53" fillId="34" borderId="44" xfId="116" applyFont="1" applyFill="1" applyBorder="1" applyAlignment="1">
      <alignment horizontal="right" vertical="center" wrapText="1"/>
    </xf>
    <xf numFmtId="10" fontId="11" fillId="4" borderId="63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6" xfId="3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0" fillId="0" borderId="60" xfId="3" applyNumberFormat="1" applyFont="1" applyFill="1" applyBorder="1" applyAlignment="1" applyProtection="1">
      <alignment horizontal="right" vertical="center"/>
    </xf>
    <xf numFmtId="10" fontId="11" fillId="0" borderId="60" xfId="3" applyNumberFormat="1" applyFont="1" applyFill="1" applyBorder="1" applyAlignment="1" applyProtection="1">
      <alignment horizontal="right" vertical="center"/>
    </xf>
    <xf numFmtId="10" fontId="11" fillId="0" borderId="65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5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7" xfId="3" applyNumberFormat="1" applyFont="1" applyFill="1" applyBorder="1" applyAlignment="1">
      <alignment horizontal="right" vertical="center"/>
    </xf>
    <xf numFmtId="43" fontId="8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5" borderId="34" xfId="5" applyFont="1" applyFill="1" applyBorder="1" applyAlignment="1">
      <alignment horizontal="center" vertical="center"/>
    </xf>
    <xf numFmtId="0" fontId="50" fillId="0" borderId="5" xfId="5" applyFont="1" applyBorder="1" applyAlignment="1">
      <alignment horizontal="center" vertical="center" wrapText="1"/>
    </xf>
    <xf numFmtId="0" fontId="51" fillId="0" borderId="5" xfId="5" applyFont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 wrapText="1"/>
    </xf>
    <xf numFmtId="0" fontId="55" fillId="0" borderId="7" xfId="5" applyFont="1" applyBorder="1" applyAlignment="1">
      <alignment horizontal="center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50" fillId="0" borderId="7" xfId="5" quotePrefix="1" applyFont="1" applyBorder="1" applyAlignment="1">
      <alignment horizontal="center" vertical="center" wrapText="1"/>
    </xf>
    <xf numFmtId="0" fontId="50" fillId="24" borderId="7" xfId="5" applyFont="1" applyFill="1" applyBorder="1" applyAlignment="1">
      <alignment horizontal="center" vertical="center" wrapText="1"/>
    </xf>
    <xf numFmtId="0" fontId="47" fillId="24" borderId="68" xfId="5" applyFont="1" applyFill="1" applyBorder="1" applyAlignment="1">
      <alignment horizontal="center" vertical="center" wrapText="1"/>
    </xf>
    <xf numFmtId="0" fontId="42" fillId="3" borderId="31" xfId="4" applyFont="1" applyFill="1" applyBorder="1" applyAlignment="1">
      <alignment horizontal="center" vertical="center"/>
    </xf>
    <xf numFmtId="164" fontId="53" fillId="0" borderId="0" xfId="116" applyFont="1" applyFill="1" applyBorder="1" applyAlignment="1">
      <alignment horizontal="right" vertical="center" wrapText="1"/>
    </xf>
    <xf numFmtId="164" fontId="59" fillId="0" borderId="0" xfId="116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5" borderId="30" xfId="4" applyNumberFormat="1" applyFont="1" applyFill="1" applyBorder="1" applyAlignment="1">
      <alignment horizontal="center" vertical="center"/>
    </xf>
    <xf numFmtId="43" fontId="0" fillId="0" borderId="0" xfId="1" applyFont="1"/>
    <xf numFmtId="0" fontId="6" fillId="3" borderId="46" xfId="5" applyFont="1" applyFill="1" applyBorder="1" applyAlignment="1">
      <alignment horizontal="left" vertical="center" wrapText="1"/>
    </xf>
    <xf numFmtId="1" fontId="11" fillId="35" borderId="31" xfId="4" applyNumberFormat="1" applyFont="1" applyFill="1" applyBorder="1" applyAlignment="1">
      <alignment horizontal="center" vertical="center"/>
    </xf>
    <xf numFmtId="1" fontId="11" fillId="35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0" borderId="43" xfId="5" applyFont="1" applyBorder="1" applyAlignment="1">
      <alignment horizontal="center" vertical="center"/>
    </xf>
    <xf numFmtId="0" fontId="63" fillId="0" borderId="0" xfId="0" applyFont="1"/>
    <xf numFmtId="164" fontId="50" fillId="24" borderId="34" xfId="116" applyFont="1" applyFill="1" applyBorder="1" applyAlignment="1" applyProtection="1">
      <alignment horizontal="center" vertical="center" wrapText="1"/>
    </xf>
    <xf numFmtId="164" fontId="50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7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7" fillId="36" borderId="78" xfId="80" applyNumberFormat="1" applyFont="1" applyFill="1" applyBorder="1" applyAlignment="1">
      <alignment horizontal="center" vertical="center" wrapText="1"/>
    </xf>
    <xf numFmtId="49" fontId="62" fillId="0" borderId="81" xfId="80" applyNumberFormat="1" applyFont="1" applyBorder="1" applyAlignment="1">
      <alignment vertical="center" wrapText="1"/>
    </xf>
    <xf numFmtId="0" fontId="62" fillId="0" borderId="74" xfId="80" applyFont="1" applyBorder="1" applyAlignment="1">
      <alignment horizontal="left" vertical="center" wrapText="1"/>
    </xf>
    <xf numFmtId="49" fontId="62" fillId="0" borderId="74" xfId="80" applyNumberFormat="1" applyFont="1" applyBorder="1" applyAlignment="1">
      <alignment horizontal="left" vertical="center" wrapText="1"/>
    </xf>
    <xf numFmtId="49" fontId="62" fillId="0" borderId="74" xfId="80" applyNumberFormat="1" applyFont="1" applyBorder="1" applyAlignment="1">
      <alignment vertical="center" wrapText="1"/>
    </xf>
    <xf numFmtId="49" fontId="62" fillId="24" borderId="74" xfId="80" applyNumberFormat="1" applyFont="1" applyFill="1" applyBorder="1" applyAlignment="1">
      <alignment vertical="center" wrapText="1"/>
    </xf>
    <xf numFmtId="49" fontId="62" fillId="24" borderId="82" xfId="80" applyNumberFormat="1" applyFont="1" applyFill="1" applyBorder="1" applyAlignment="1">
      <alignment horizontal="left" vertical="center" wrapText="1"/>
    </xf>
    <xf numFmtId="49" fontId="68" fillId="4" borderId="84" xfId="80" applyNumberFormat="1" applyFont="1" applyFill="1" applyBorder="1" applyAlignment="1">
      <alignment horizontal="left" vertical="center" wrapText="1"/>
    </xf>
    <xf numFmtId="49" fontId="61" fillId="24" borderId="86" xfId="80" applyNumberFormat="1" applyFont="1" applyFill="1" applyBorder="1" applyAlignment="1">
      <alignment horizontal="left" vertical="center" wrapText="1"/>
    </xf>
    <xf numFmtId="49" fontId="61" fillId="24" borderId="87" xfId="80" applyNumberFormat="1" applyFont="1" applyFill="1" applyBorder="1" applyAlignment="1">
      <alignment horizontal="left" vertical="center" wrapText="1"/>
    </xf>
    <xf numFmtId="49" fontId="61" fillId="24" borderId="88" xfId="80" applyNumberFormat="1" applyFont="1" applyFill="1" applyBorder="1" applyAlignment="1">
      <alignment horizontal="left" vertical="center" wrapText="1"/>
    </xf>
    <xf numFmtId="49" fontId="61" fillId="24" borderId="71" xfId="80" applyNumberFormat="1" applyFont="1" applyFill="1" applyBorder="1" applyAlignment="1">
      <alignment horizontal="left" vertical="center" wrapText="1"/>
    </xf>
    <xf numFmtId="0" fontId="62" fillId="0" borderId="81" xfId="80" applyFont="1" applyBorder="1" applyAlignment="1">
      <alignment vertical="center"/>
    </xf>
    <xf numFmtId="0" fontId="7" fillId="0" borderId="74" xfId="80" applyBorder="1" applyAlignment="1">
      <alignment vertical="center"/>
    </xf>
    <xf numFmtId="0" fontId="63" fillId="0" borderId="75" xfId="80" quotePrefix="1" applyFont="1" applyBorder="1" applyAlignment="1">
      <alignment horizontal="center" vertical="center"/>
    </xf>
    <xf numFmtId="0" fontId="7" fillId="24" borderId="74" xfId="80" applyFill="1" applyBorder="1" applyAlignment="1">
      <alignment vertical="center"/>
    </xf>
    <xf numFmtId="0" fontId="62" fillId="0" borderId="74" xfId="80" applyFont="1" applyBorder="1" applyAlignment="1">
      <alignment vertical="center"/>
    </xf>
    <xf numFmtId="49" fontId="63" fillId="0" borderId="74" xfId="80" applyNumberFormat="1" applyFont="1" applyBorder="1" applyAlignment="1">
      <alignment horizontal="left" vertical="center"/>
    </xf>
    <xf numFmtId="0" fontId="63" fillId="0" borderId="75" xfId="80" applyFont="1" applyBorder="1" applyAlignment="1">
      <alignment horizontal="center" vertical="center"/>
    </xf>
    <xf numFmtId="49" fontId="62" fillId="0" borderId="74" xfId="80" applyNumberFormat="1" applyFont="1" applyBorder="1" applyAlignment="1">
      <alignment vertical="center"/>
    </xf>
    <xf numFmtId="0" fontId="63" fillId="0" borderId="74" xfId="80" applyFont="1" applyBorder="1" applyAlignment="1">
      <alignment horizontal="left" vertical="center"/>
    </xf>
    <xf numFmtId="0" fontId="63" fillId="24" borderId="74" xfId="80" applyFont="1" applyFill="1" applyBorder="1" applyAlignment="1">
      <alignment horizontal="left" vertical="center"/>
    </xf>
    <xf numFmtId="0" fontId="62" fillId="0" borderId="74" xfId="80" applyFont="1" applyBorder="1" applyAlignment="1">
      <alignment horizontal="left" vertical="center"/>
    </xf>
    <xf numFmtId="49" fontId="62" fillId="0" borderId="74" xfId="80" applyNumberFormat="1" applyFont="1" applyBorder="1" applyAlignment="1">
      <alignment horizontal="left" vertical="center"/>
    </xf>
    <xf numFmtId="49" fontId="62" fillId="24" borderId="74" xfId="80" applyNumberFormat="1" applyFont="1" applyFill="1" applyBorder="1" applyAlignment="1">
      <alignment vertical="center"/>
    </xf>
    <xf numFmtId="49" fontId="62" fillId="24" borderId="82" xfId="80" applyNumberFormat="1" applyFont="1" applyFill="1" applyBorder="1" applyAlignment="1">
      <alignment vertical="center"/>
    </xf>
    <xf numFmtId="0" fontId="68" fillId="4" borderId="84" xfId="80" applyFont="1" applyFill="1" applyBorder="1" applyAlignment="1">
      <alignment horizontal="left" vertical="center" wrapText="1"/>
    </xf>
    <xf numFmtId="0" fontId="68" fillId="37" borderId="89" xfId="80" applyFont="1" applyFill="1" applyBorder="1" applyAlignment="1">
      <alignment horizontal="left" vertical="center" wrapText="1"/>
    </xf>
    <xf numFmtId="0" fontId="7" fillId="37" borderId="90" xfId="80" applyFill="1" applyBorder="1" applyAlignment="1">
      <alignment vertical="center"/>
    </xf>
    <xf numFmtId="49" fontId="7" fillId="0" borderId="91" xfId="5" applyNumberFormat="1" applyBorder="1" applyAlignment="1">
      <alignment horizontal="center" vertical="center" wrapText="1"/>
    </xf>
    <xf numFmtId="49" fontId="7" fillId="0" borderId="92" xfId="5" applyNumberFormat="1" applyBorder="1" applyAlignment="1">
      <alignment horizontal="center" vertical="center" wrapText="1"/>
    </xf>
    <xf numFmtId="43" fontId="7" fillId="24" borderId="92" xfId="126" applyFont="1" applyFill="1" applyBorder="1" applyAlignment="1" applyProtection="1">
      <alignment horizontal="center" vertical="center" wrapText="1"/>
    </xf>
    <xf numFmtId="49" fontId="7" fillId="24" borderId="92" xfId="5" applyNumberFormat="1" applyFill="1" applyBorder="1" applyAlignment="1">
      <alignment horizontal="center" vertical="center" wrapText="1"/>
    </xf>
    <xf numFmtId="49" fontId="7" fillId="24" borderId="93" xfId="5" applyNumberFormat="1" applyFill="1" applyBorder="1" applyAlignment="1">
      <alignment horizontal="center" vertical="center" wrapText="1"/>
    </xf>
    <xf numFmtId="49" fontId="62" fillId="4" borderId="94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1" xfId="80" applyFill="1" applyBorder="1" applyAlignment="1">
      <alignment horizontal="center" vertical="center"/>
    </xf>
    <xf numFmtId="49" fontId="7" fillId="0" borderId="92" xfId="80" applyNumberFormat="1" applyBorder="1" applyAlignment="1">
      <alignment horizontal="center" vertical="center" wrapText="1"/>
    </xf>
    <xf numFmtId="49" fontId="7" fillId="0" borderId="92" xfId="80" applyNumberFormat="1" applyBorder="1" applyAlignment="1">
      <alignment horizontal="center" vertical="center"/>
    </xf>
    <xf numFmtId="49" fontId="7" fillId="24" borderId="92" xfId="80" applyNumberFormat="1" applyFill="1" applyBorder="1" applyAlignment="1">
      <alignment horizontal="center" vertical="center"/>
    </xf>
    <xf numFmtId="3" fontId="7" fillId="0" borderId="92" xfId="80" applyNumberFormat="1" applyBorder="1" applyAlignment="1">
      <alignment horizontal="center" vertical="center" wrapText="1"/>
    </xf>
    <xf numFmtId="0" fontId="7" fillId="0" borderId="92" xfId="80" applyBorder="1" applyAlignment="1">
      <alignment horizontal="center" vertical="center"/>
    </xf>
    <xf numFmtId="0" fontId="7" fillId="24" borderId="92" xfId="80" applyFill="1" applyBorder="1" applyAlignment="1">
      <alignment horizontal="center" vertical="center" wrapText="1"/>
    </xf>
    <xf numFmtId="0" fontId="7" fillId="0" borderId="92" xfId="80" quotePrefix="1" applyBorder="1" applyAlignment="1">
      <alignment horizontal="center" vertical="center"/>
    </xf>
    <xf numFmtId="0" fontId="7" fillId="0" borderId="92" xfId="80" quotePrefix="1" applyBorder="1" applyAlignment="1">
      <alignment horizontal="center" vertical="center" wrapText="1"/>
    </xf>
    <xf numFmtId="0" fontId="7" fillId="24" borderId="93" xfId="80" quotePrefix="1" applyFill="1" applyBorder="1" applyAlignment="1">
      <alignment horizontal="center" vertical="center" wrapText="1"/>
    </xf>
    <xf numFmtId="49" fontId="61" fillId="4" borderId="94" xfId="80" applyNumberFormat="1" applyFont="1" applyFill="1" applyBorder="1" applyAlignment="1">
      <alignment horizontal="left" vertical="center" wrapText="1"/>
    </xf>
    <xf numFmtId="0" fontId="69" fillId="36" borderId="72" xfId="80" applyFont="1" applyFill="1" applyBorder="1" applyAlignment="1">
      <alignment horizontal="center" vertical="center"/>
    </xf>
    <xf numFmtId="0" fontId="69" fillId="36" borderId="75" xfId="80" applyFont="1" applyFill="1" applyBorder="1" applyAlignment="1">
      <alignment horizontal="center" vertical="center"/>
    </xf>
    <xf numFmtId="0" fontId="69" fillId="36" borderId="79" xfId="80" applyFont="1" applyFill="1" applyBorder="1" applyAlignment="1">
      <alignment horizontal="center" vertical="center"/>
    </xf>
    <xf numFmtId="2" fontId="69" fillId="0" borderId="77" xfId="5" applyNumberFormat="1" applyFont="1" applyBorder="1" applyAlignment="1">
      <alignment horizontal="center" vertical="center" wrapText="1"/>
    </xf>
    <xf numFmtId="1" fontId="69" fillId="0" borderId="75" xfId="5" applyNumberFormat="1" applyFont="1" applyBorder="1" applyAlignment="1">
      <alignment horizontal="center" vertical="center" wrapText="1"/>
    </xf>
    <xf numFmtId="1" fontId="69" fillId="0" borderId="83" xfId="5" applyNumberFormat="1" applyFont="1" applyBorder="1" applyAlignment="1">
      <alignment horizontal="center" vertical="center" wrapText="1"/>
    </xf>
    <xf numFmtId="49" fontId="70" fillId="4" borderId="85" xfId="80" applyNumberFormat="1" applyFont="1" applyFill="1" applyBorder="1" applyAlignment="1">
      <alignment horizontal="center" vertical="center" wrapText="1"/>
    </xf>
    <xf numFmtId="49" fontId="69" fillId="24" borderId="87" xfId="80" applyNumberFormat="1" applyFont="1" applyFill="1" applyBorder="1" applyAlignment="1">
      <alignment horizontal="left" vertical="center" wrapText="1"/>
    </xf>
    <xf numFmtId="49" fontId="69" fillId="24" borderId="71" xfId="80" applyNumberFormat="1" applyFont="1" applyFill="1" applyBorder="1" applyAlignment="1">
      <alignment horizontal="left" vertical="center" wrapText="1"/>
    </xf>
    <xf numFmtId="49" fontId="69" fillId="36" borderId="79" xfId="80" applyNumberFormat="1" applyFont="1" applyFill="1" applyBorder="1" applyAlignment="1">
      <alignment horizontal="center" vertical="center" wrapText="1"/>
    </xf>
    <xf numFmtId="49" fontId="69" fillId="0" borderId="77" xfId="80" applyNumberFormat="1" applyFont="1" applyBorder="1" applyAlignment="1">
      <alignment horizontal="center" vertical="center" wrapText="1"/>
    </xf>
    <xf numFmtId="0" fontId="69" fillId="0" borderId="75" xfId="80" quotePrefix="1" applyFont="1" applyBorder="1" applyAlignment="1">
      <alignment horizontal="center" vertical="center"/>
    </xf>
    <xf numFmtId="0" fontId="69" fillId="0" borderId="75" xfId="80" quotePrefix="1" applyFont="1" applyBorder="1" applyAlignment="1">
      <alignment horizontal="center" vertical="center" wrapText="1"/>
    </xf>
    <xf numFmtId="0" fontId="69" fillId="0" borderId="83" xfId="80" quotePrefix="1" applyFont="1" applyBorder="1" applyAlignment="1">
      <alignment horizontal="center" vertical="center"/>
    </xf>
    <xf numFmtId="0" fontId="69" fillId="4" borderId="85" xfId="80" applyFont="1" applyFill="1" applyBorder="1" applyAlignment="1">
      <alignment horizontal="center" vertical="center" wrapText="1"/>
    </xf>
    <xf numFmtId="0" fontId="69" fillId="0" borderId="0" xfId="80" applyFont="1" applyAlignment="1">
      <alignment vertical="center"/>
    </xf>
    <xf numFmtId="0" fontId="69" fillId="37" borderId="90" xfId="80" applyFont="1" applyFill="1" applyBorder="1" applyAlignment="1">
      <alignment horizontal="center" vertical="center" wrapText="1"/>
    </xf>
    <xf numFmtId="0" fontId="50" fillId="0" borderId="30" xfId="5" applyFont="1" applyBorder="1" applyAlignment="1">
      <alignment horizontal="center" vertical="center" wrapText="1"/>
    </xf>
    <xf numFmtId="10" fontId="11" fillId="0" borderId="60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5" borderId="35" xfId="5" applyFont="1" applyFill="1" applyBorder="1" applyAlignment="1">
      <alignment horizontal="center" vertical="center" wrapText="1"/>
    </xf>
    <xf numFmtId="0" fontId="6" fillId="35" borderId="33" xfId="5" applyFont="1" applyFill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2" fillId="23" borderId="57" xfId="4" applyFont="1" applyFill="1" applyBorder="1" applyAlignment="1">
      <alignment horizontal="center" vertical="center"/>
    </xf>
    <xf numFmtId="0" fontId="64" fillId="0" borderId="0" xfId="0" applyFont="1"/>
    <xf numFmtId="0" fontId="49" fillId="24" borderId="0" xfId="4" applyFont="1" applyFill="1" applyAlignment="1">
      <alignment horizontal="center" vertical="center"/>
    </xf>
    <xf numFmtId="0" fontId="49" fillId="0" borderId="0" xfId="4" applyFont="1" applyAlignment="1">
      <alignment vertical="center"/>
    </xf>
    <xf numFmtId="0" fontId="11" fillId="3" borderId="46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6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0" fontId="71" fillId="0" borderId="39" xfId="5" applyFont="1" applyBorder="1" applyAlignment="1">
      <alignment horizontal="center" vertical="center"/>
    </xf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175" fontId="6" fillId="0" borderId="0" xfId="1" applyNumberFormat="1" applyFont="1" applyAlignment="1">
      <alignment vertical="center"/>
    </xf>
    <xf numFmtId="175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64" fontId="44" fillId="23" borderId="0" xfId="116" applyFont="1" applyFill="1" applyAlignment="1">
      <alignment vertical="center"/>
    </xf>
    <xf numFmtId="164" fontId="48" fillId="23" borderId="0" xfId="116" applyFont="1" applyFill="1" applyAlignment="1">
      <alignment horizontal="center" vertical="center" wrapText="1"/>
    </xf>
    <xf numFmtId="164" fontId="48" fillId="3" borderId="31" xfId="116" applyFont="1" applyFill="1" applyBorder="1" applyAlignment="1">
      <alignment horizontal="center" vertical="center"/>
    </xf>
    <xf numFmtId="164" fontId="44" fillId="23" borderId="24" xfId="116" applyFont="1" applyFill="1" applyBorder="1" applyAlignment="1">
      <alignment horizontal="center" vertical="center"/>
    </xf>
    <xf numFmtId="0" fontId="47" fillId="0" borderId="37" xfId="4" applyFont="1" applyBorder="1" applyAlignment="1">
      <alignment horizontal="center" vertical="center"/>
    </xf>
    <xf numFmtId="164" fontId="44" fillId="23" borderId="37" xfId="116" applyFont="1" applyFill="1" applyBorder="1" applyAlignment="1">
      <alignment horizontal="center" vertical="center"/>
    </xf>
    <xf numFmtId="164" fontId="44" fillId="23" borderId="0" xfId="116" applyFont="1" applyFill="1" applyBorder="1" applyAlignment="1">
      <alignment horizontal="center" vertical="center"/>
    </xf>
    <xf numFmtId="164" fontId="44" fillId="23" borderId="27" xfId="116" applyFont="1" applyFill="1" applyBorder="1" applyAlignment="1">
      <alignment horizontal="center" vertical="center"/>
    </xf>
    <xf numFmtId="164" fontId="48" fillId="23" borderId="24" xfId="116" applyFont="1" applyFill="1" applyBorder="1" applyAlignment="1">
      <alignment horizontal="center" vertical="center"/>
    </xf>
    <xf numFmtId="0" fontId="43" fillId="23" borderId="0" xfId="4" applyFont="1" applyFill="1" applyAlignment="1">
      <alignment vertical="center" wrapText="1"/>
    </xf>
    <xf numFmtId="0" fontId="72" fillId="23" borderId="0" xfId="4" applyFont="1" applyFill="1" applyAlignment="1">
      <alignment horizontal="center" vertical="center" wrapText="1"/>
    </xf>
    <xf numFmtId="0" fontId="46" fillId="24" borderId="0" xfId="4" applyFont="1" applyFill="1" applyAlignment="1">
      <alignment vertical="center" wrapText="1"/>
    </xf>
    <xf numFmtId="0" fontId="49" fillId="0" borderId="0" xfId="5" applyFont="1" applyAlignment="1">
      <alignment vertical="center"/>
    </xf>
    <xf numFmtId="0" fontId="47" fillId="0" borderId="0" xfId="4" applyFont="1" applyAlignment="1">
      <alignment horizontal="right" vertical="center"/>
    </xf>
    <xf numFmtId="0" fontId="49" fillId="0" borderId="0" xfId="4" applyFont="1" applyAlignment="1">
      <alignment horizontal="center" vertical="center"/>
    </xf>
    <xf numFmtId="0" fontId="46" fillId="0" borderId="0" xfId="4" applyFont="1" applyAlignment="1">
      <alignment vertical="center"/>
    </xf>
    <xf numFmtId="0" fontId="11" fillId="0" borderId="6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69" fillId="0" borderId="0" xfId="0" applyFont="1"/>
    <xf numFmtId="1" fontId="8" fillId="35" borderId="30" xfId="4" applyNumberFormat="1" applyFont="1" applyFill="1" applyBorder="1" applyAlignment="1">
      <alignment horizontal="center" vertical="center"/>
    </xf>
    <xf numFmtId="1" fontId="8" fillId="35" borderId="31" xfId="4" applyNumberFormat="1" applyFont="1" applyFill="1" applyBorder="1" applyAlignment="1">
      <alignment horizontal="center" vertical="center"/>
    </xf>
    <xf numFmtId="1" fontId="8" fillId="35" borderId="32" xfId="4" applyNumberFormat="1" applyFont="1" applyFill="1" applyBorder="1" applyAlignment="1">
      <alignment horizontal="center" vertical="center"/>
    </xf>
    <xf numFmtId="0" fontId="8" fillId="35" borderId="34" xfId="5" applyFont="1" applyFill="1" applyBorder="1" applyAlignment="1">
      <alignment horizontal="center" vertical="center"/>
    </xf>
    <xf numFmtId="0" fontId="8" fillId="3" borderId="36" xfId="5" applyFont="1" applyFill="1" applyBorder="1" applyAlignment="1">
      <alignment horizontal="center" vertical="center" wrapText="1"/>
    </xf>
    <xf numFmtId="0" fontId="8" fillId="3" borderId="37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7" fillId="0" borderId="0" xfId="0" applyFont="1" applyAlignment="1">
      <alignment wrapText="1"/>
    </xf>
    <xf numFmtId="43" fontId="8" fillId="38" borderId="37" xfId="1" applyFont="1" applyFill="1" applyBorder="1" applyAlignment="1" applyProtection="1">
      <alignment horizontal="right" vertical="center" wrapText="1"/>
    </xf>
    <xf numFmtId="43" fontId="8" fillId="38" borderId="3" xfId="1" applyFont="1" applyFill="1" applyBorder="1" applyAlignment="1" applyProtection="1">
      <alignment horizontal="right" vertical="center" wrapText="1"/>
    </xf>
    <xf numFmtId="43" fontId="8" fillId="38" borderId="39" xfId="1" applyFont="1" applyFill="1" applyBorder="1" applyAlignment="1" applyProtection="1">
      <alignment horizontal="left" vertical="center" wrapText="1"/>
    </xf>
    <xf numFmtId="43" fontId="8" fillId="38" borderId="39" xfId="1" applyFont="1" applyFill="1" applyBorder="1" applyAlignment="1" applyProtection="1">
      <alignment horizontal="right" vertical="center" wrapText="1"/>
    </xf>
    <xf numFmtId="175" fontId="9" fillId="0" borderId="101" xfId="1" applyNumberFormat="1" applyFont="1" applyFill="1" applyBorder="1" applyAlignment="1" applyProtection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6" fontId="10" fillId="0" borderId="1" xfId="2" quotePrefix="1" applyNumberFormat="1" applyFont="1" applyFill="1" applyBorder="1" applyAlignment="1" applyProtection="1">
      <alignment vertical="center"/>
    </xf>
    <xf numFmtId="166" fontId="10" fillId="0" borderId="2" xfId="2" quotePrefix="1" applyNumberFormat="1" applyFont="1" applyFill="1" applyBorder="1" applyAlignment="1" applyProtection="1">
      <alignment vertical="center"/>
    </xf>
    <xf numFmtId="166" fontId="10" fillId="0" borderId="17" xfId="2" quotePrefix="1" applyNumberFormat="1" applyFont="1" applyFill="1" applyBorder="1" applyAlignment="1" applyProtection="1">
      <alignment vertical="center"/>
    </xf>
    <xf numFmtId="164" fontId="47" fillId="0" borderId="0" xfId="5" applyNumberFormat="1" applyFont="1" applyAlignment="1">
      <alignment vertical="center"/>
    </xf>
    <xf numFmtId="164" fontId="0" fillId="0" borderId="0" xfId="0" applyNumberFormat="1"/>
    <xf numFmtId="10" fontId="10" fillId="0" borderId="60" xfId="3" applyNumberFormat="1" applyFont="1" applyFill="1" applyBorder="1" applyAlignment="1">
      <alignment horizontal="right" vertical="center"/>
    </xf>
    <xf numFmtId="43" fontId="0" fillId="0" borderId="0" xfId="0" applyNumberFormat="1"/>
    <xf numFmtId="0" fontId="8" fillId="0" borderId="0" xfId="80" applyFont="1" applyAlignment="1">
      <alignment vertical="center"/>
    </xf>
    <xf numFmtId="20" fontId="8" fillId="0" borderId="0" xfId="80" applyNumberFormat="1" applyFont="1" applyAlignment="1">
      <alignment horizontal="center" vertical="center"/>
    </xf>
    <xf numFmtId="0" fontId="6" fillId="0" borderId="0" xfId="80" applyFont="1" applyAlignment="1">
      <alignment vertical="center"/>
    </xf>
    <xf numFmtId="0" fontId="10" fillId="0" borderId="0" xfId="80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80" applyNumberFormat="1" applyFont="1" applyAlignment="1">
      <alignment horizontal="center" vertical="center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6" fillId="0" borderId="13" xfId="80" applyFont="1" applyBorder="1" applyAlignment="1">
      <alignment horizontal="center" vertical="center" wrapText="1"/>
    </xf>
    <xf numFmtId="0" fontId="6" fillId="0" borderId="0" xfId="80" applyFont="1" applyAlignment="1">
      <alignment horizontal="center" vertical="center" wrapText="1"/>
    </xf>
    <xf numFmtId="174" fontId="6" fillId="0" borderId="9" xfId="118" applyFont="1" applyBorder="1" applyAlignment="1">
      <alignment horizontal="left" vertical="center"/>
    </xf>
    <xf numFmtId="166" fontId="10" fillId="0" borderId="9" xfId="80" applyNumberFormat="1" applyFont="1" applyBorder="1" applyAlignment="1">
      <alignment horizontal="right" vertical="center" wrapText="1"/>
    </xf>
    <xf numFmtId="166" fontId="10" fillId="0" borderId="0" xfId="80" applyNumberFormat="1" applyFont="1" applyAlignment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5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5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80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5" fontId="11" fillId="0" borderId="15" xfId="1" applyNumberFormat="1" applyFont="1" applyBorder="1" applyAlignment="1" applyProtection="1">
      <alignment horizontal="right" vertical="center"/>
    </xf>
    <xf numFmtId="164" fontId="11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6" fontId="10" fillId="0" borderId="0" xfId="80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6" fontId="11" fillId="0" borderId="0" xfId="80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80" applyFont="1" applyAlignment="1">
      <alignment vertical="center"/>
    </xf>
    <xf numFmtId="166" fontId="13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7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103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5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5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43" fontId="13" fillId="0" borderId="0" xfId="1" applyFont="1" applyBorder="1" applyAlignment="1" applyProtection="1">
      <alignment vertical="center"/>
    </xf>
    <xf numFmtId="176" fontId="10" fillId="0" borderId="101" xfId="1" applyNumberFormat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75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103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5" fontId="10" fillId="0" borderId="15" xfId="1" applyNumberFormat="1" applyFont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5" fontId="11" fillId="2" borderId="21" xfId="1" applyNumberFormat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43" xfId="1" applyNumberFormat="1" applyFont="1" applyFill="1" applyBorder="1" applyAlignment="1" applyProtection="1">
      <alignment horizontal="right" vertical="center"/>
    </xf>
    <xf numFmtId="175" fontId="11" fillId="2" borderId="43" xfId="1" applyNumberFormat="1" applyFont="1" applyFill="1" applyBorder="1" applyAlignment="1" applyProtection="1">
      <alignment horizontal="right" vertical="center"/>
    </xf>
    <xf numFmtId="10" fontId="11" fillId="4" borderId="68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80" applyNumberFormat="1" applyFont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80" applyNumberFormat="1" applyFont="1" applyBorder="1" applyAlignment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80" applyNumberFormat="1" applyFont="1" applyBorder="1" applyAlignment="1">
      <alignment horizontal="right" vertical="center"/>
    </xf>
    <xf numFmtId="43" fontId="11" fillId="0" borderId="0" xfId="80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5" fontId="11" fillId="4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103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5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5" fontId="11" fillId="0" borderId="37" xfId="1" applyNumberFormat="1" applyFont="1" applyFill="1" applyBorder="1" applyAlignment="1" applyProtection="1">
      <alignment horizontal="right" vertical="center"/>
    </xf>
    <xf numFmtId="43" fontId="11" fillId="0" borderId="37" xfId="1" applyFont="1" applyBorder="1" applyAlignment="1" applyProtection="1">
      <alignment horizontal="right" vertical="center"/>
    </xf>
    <xf numFmtId="175" fontId="11" fillId="4" borderId="21" xfId="1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80" applyNumberFormat="1" applyFont="1" applyAlignment="1">
      <alignment vertical="center"/>
    </xf>
    <xf numFmtId="0" fontId="76" fillId="0" borderId="0" xfId="80" applyFont="1" applyAlignment="1">
      <alignment vertical="center"/>
    </xf>
    <xf numFmtId="0" fontId="8" fillId="0" borderId="0" xfId="80" applyFont="1" applyAlignment="1">
      <alignment horizontal="center" vertical="center"/>
    </xf>
    <xf numFmtId="0" fontId="42" fillId="23" borderId="0" xfId="4" applyFont="1" applyFill="1" applyAlignment="1">
      <alignment vertical="center"/>
    </xf>
    <xf numFmtId="177" fontId="78" fillId="23" borderId="0" xfId="129" applyNumberFormat="1" applyFont="1" applyFill="1" applyAlignment="1">
      <alignment horizontal="center" vertical="center"/>
    </xf>
    <xf numFmtId="0" fontId="46" fillId="23" borderId="0" xfId="4" applyFont="1" applyFill="1" applyAlignment="1">
      <alignment vertical="center"/>
    </xf>
    <xf numFmtId="0" fontId="79" fillId="0" borderId="0" xfId="4" applyFont="1" applyAlignment="1">
      <alignment vertical="center"/>
    </xf>
    <xf numFmtId="0" fontId="45" fillId="23" borderId="0" xfId="4" applyFont="1" applyFill="1" applyAlignment="1">
      <alignment horizontal="left" vertical="center"/>
    </xf>
    <xf numFmtId="0" fontId="45" fillId="23" borderId="0" xfId="4" applyFont="1" applyFill="1" applyAlignment="1">
      <alignment horizontal="center" vertical="center"/>
    </xf>
    <xf numFmtId="177" fontId="45" fillId="23" borderId="0" xfId="129" applyNumberFormat="1" applyFont="1" applyFill="1" applyAlignment="1">
      <alignment horizontal="center" vertical="center"/>
    </xf>
    <xf numFmtId="0" fontId="80" fillId="23" borderId="0" xfId="4" applyFont="1" applyFill="1" applyAlignment="1">
      <alignment horizontal="center" vertical="center"/>
    </xf>
    <xf numFmtId="0" fontId="81" fillId="0" borderId="0" xfId="4" applyFont="1" applyAlignment="1">
      <alignment vertical="center"/>
    </xf>
    <xf numFmtId="0" fontId="49" fillId="23" borderId="0" xfId="4" applyFont="1" applyFill="1" applyAlignment="1">
      <alignment horizontal="center" vertical="center"/>
    </xf>
    <xf numFmtId="0" fontId="42" fillId="3" borderId="30" xfId="4" applyFont="1" applyFill="1" applyBorder="1" applyAlignment="1">
      <alignment vertical="center"/>
    </xf>
    <xf numFmtId="0" fontId="47" fillId="23" borderId="23" xfId="4" applyFont="1" applyFill="1" applyBorder="1" applyAlignment="1">
      <alignment vertical="center"/>
    </xf>
    <xf numFmtId="177" fontId="78" fillId="23" borderId="24" xfId="129" applyNumberFormat="1" applyFont="1" applyFill="1" applyBorder="1" applyAlignment="1">
      <alignment horizontal="center" vertical="center"/>
    </xf>
    <xf numFmtId="0" fontId="49" fillId="23" borderId="24" xfId="4" applyFont="1" applyFill="1" applyBorder="1" applyAlignment="1">
      <alignment horizontal="center" vertical="center"/>
    </xf>
    <xf numFmtId="0" fontId="47" fillId="23" borderId="23" xfId="4" applyFont="1" applyFill="1" applyBorder="1" applyAlignment="1">
      <alignment horizontal="center" vertical="center"/>
    </xf>
    <xf numFmtId="177" fontId="47" fillId="23" borderId="0" xfId="129" applyNumberFormat="1" applyFont="1" applyFill="1" applyBorder="1" applyAlignment="1">
      <alignment horizontal="center" vertical="center"/>
    </xf>
    <xf numFmtId="164" fontId="44" fillId="23" borderId="37" xfId="130" applyFont="1" applyFill="1" applyBorder="1" applyAlignment="1">
      <alignment horizontal="center" vertical="center"/>
    </xf>
    <xf numFmtId="0" fontId="49" fillId="23" borderId="37" xfId="4" applyFont="1" applyFill="1" applyBorder="1" applyAlignment="1">
      <alignment horizontal="center" vertical="center"/>
    </xf>
    <xf numFmtId="0" fontId="47" fillId="23" borderId="13" xfId="131" applyFont="1" applyFill="1" applyBorder="1" applyAlignment="1">
      <alignment horizontal="left" vertical="center"/>
    </xf>
    <xf numFmtId="0" fontId="47" fillId="23" borderId="0" xfId="131" applyFont="1" applyFill="1" applyAlignment="1">
      <alignment horizontal="left" vertical="center"/>
    </xf>
    <xf numFmtId="0" fontId="47" fillId="23" borderId="0" xfId="131" applyFont="1" applyFill="1" applyAlignment="1">
      <alignment horizontal="center" vertical="center"/>
    </xf>
    <xf numFmtId="0" fontId="47" fillId="23" borderId="37" xfId="131" applyFont="1" applyFill="1" applyBorder="1" applyAlignment="1">
      <alignment horizontal="center" vertical="center"/>
    </xf>
    <xf numFmtId="0" fontId="47" fillId="23" borderId="60" xfId="131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vertical="center"/>
    </xf>
    <xf numFmtId="177" fontId="78" fillId="23" borderId="0" xfId="129" applyNumberFormat="1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left" vertical="center"/>
    </xf>
    <xf numFmtId="0" fontId="47" fillId="23" borderId="14" xfId="4" applyFont="1" applyFill="1" applyBorder="1" applyAlignment="1">
      <alignment horizontal="right" vertical="center"/>
    </xf>
    <xf numFmtId="0" fontId="47" fillId="23" borderId="58" xfId="4" applyFont="1" applyFill="1" applyBorder="1" applyAlignment="1">
      <alignment vertical="center"/>
    </xf>
    <xf numFmtId="177" fontId="78" fillId="23" borderId="27" xfId="129" applyNumberFormat="1" applyFont="1" applyFill="1" applyBorder="1" applyAlignment="1">
      <alignment horizontal="center" vertical="center"/>
    </xf>
    <xf numFmtId="0" fontId="49" fillId="23" borderId="27" xfId="4" applyFont="1" applyFill="1" applyBorder="1" applyAlignment="1">
      <alignment horizontal="center" vertical="center"/>
    </xf>
    <xf numFmtId="0" fontId="47" fillId="23" borderId="58" xfId="4" applyFont="1" applyFill="1" applyBorder="1" applyAlignment="1">
      <alignment horizontal="center" vertical="center"/>
    </xf>
    <xf numFmtId="0" fontId="42" fillId="23" borderId="23" xfId="4" applyFont="1" applyFill="1" applyBorder="1" applyAlignment="1">
      <alignment vertical="center"/>
    </xf>
    <xf numFmtId="0" fontId="42" fillId="23" borderId="24" xfId="4" applyFont="1" applyFill="1" applyBorder="1" applyAlignment="1">
      <alignment vertical="center"/>
    </xf>
    <xf numFmtId="177" fontId="45" fillId="23" borderId="24" xfId="129" applyNumberFormat="1" applyFont="1" applyFill="1" applyBorder="1" applyAlignment="1">
      <alignment horizontal="center" vertical="center"/>
    </xf>
    <xf numFmtId="0" fontId="54" fillId="23" borderId="24" xfId="4" applyFont="1" applyFill="1" applyBorder="1" applyAlignment="1">
      <alignment horizontal="center" vertical="center"/>
    </xf>
    <xf numFmtId="0" fontId="54" fillId="23" borderId="0" xfId="4" applyFont="1" applyFill="1" applyAlignment="1">
      <alignment horizontal="center" vertical="center"/>
    </xf>
    <xf numFmtId="0" fontId="42" fillId="23" borderId="0" xfId="4" applyFont="1" applyFill="1" applyAlignment="1">
      <alignment horizontal="center" vertical="center"/>
    </xf>
    <xf numFmtId="0" fontId="42" fillId="23" borderId="60" xfId="4" applyFont="1" applyFill="1" applyBorder="1" applyAlignment="1">
      <alignment horizontal="center" vertical="center"/>
    </xf>
    <xf numFmtId="0" fontId="49" fillId="23" borderId="0" xfId="4" applyFont="1" applyFill="1" applyAlignment="1">
      <alignment vertical="center"/>
    </xf>
    <xf numFmtId="0" fontId="50" fillId="23" borderId="0" xfId="4" applyFont="1" applyFill="1" applyAlignment="1">
      <alignment horizontal="center" vertical="center"/>
    </xf>
    <xf numFmtId="0" fontId="82" fillId="23" borderId="0" xfId="4" applyFont="1" applyFill="1" applyAlignment="1">
      <alignment horizontal="center" vertical="center"/>
    </xf>
    <xf numFmtId="0" fontId="72" fillId="23" borderId="0" xfId="4" applyFont="1" applyFill="1" applyAlignment="1">
      <alignment horizontal="center" vertical="center"/>
    </xf>
    <xf numFmtId="0" fontId="50" fillId="24" borderId="34" xfId="5" applyFont="1" applyFill="1" applyBorder="1" applyAlignment="1">
      <alignment horizontal="center" vertical="center"/>
    </xf>
    <xf numFmtId="0" fontId="50" fillId="23" borderId="23" xfId="5" applyFont="1" applyFill="1" applyBorder="1" applyAlignment="1">
      <alignment horizontal="center" vertical="center"/>
    </xf>
    <xf numFmtId="0" fontId="50" fillId="23" borderId="30" xfId="5" applyFont="1" applyFill="1" applyBorder="1" applyAlignment="1">
      <alignment vertical="center" wrapText="1"/>
    </xf>
    <xf numFmtId="164" fontId="48" fillId="0" borderId="34" xfId="130" applyFont="1" applyFill="1" applyBorder="1" applyAlignment="1" applyProtection="1">
      <alignment horizontal="center" vertical="center" wrapText="1"/>
    </xf>
    <xf numFmtId="164" fontId="48" fillId="24" borderId="34" xfId="130" applyFont="1" applyFill="1" applyBorder="1" applyAlignment="1" applyProtection="1">
      <alignment horizontal="center" vertical="center" wrapText="1"/>
    </xf>
    <xf numFmtId="0" fontId="82" fillId="23" borderId="0" xfId="5" applyFont="1" applyFill="1" applyAlignment="1">
      <alignment vertical="center" wrapText="1"/>
    </xf>
    <xf numFmtId="0" fontId="46" fillId="24" borderId="0" xfId="131" applyFont="1" applyFill="1" applyAlignment="1">
      <alignment vertical="center"/>
    </xf>
    <xf numFmtId="0" fontId="50" fillId="23" borderId="0" xfId="5" applyFont="1" applyFill="1" applyAlignment="1">
      <alignment vertical="center" wrapText="1"/>
    </xf>
    <xf numFmtId="0" fontId="47" fillId="39" borderId="105" xfId="5" applyFont="1" applyFill="1" applyBorder="1" applyAlignment="1">
      <alignment horizontal="center" vertical="center" wrapText="1"/>
    </xf>
    <xf numFmtId="0" fontId="50" fillId="39" borderId="61" xfId="77" applyFont="1" applyFill="1" applyBorder="1" applyAlignment="1">
      <alignment horizontal="center" vertical="center" wrapText="1"/>
    </xf>
    <xf numFmtId="0" fontId="50" fillId="39" borderId="61" xfId="77" applyFont="1" applyFill="1" applyBorder="1" applyAlignment="1">
      <alignment horizontal="left" vertical="center" wrapText="1"/>
    </xf>
    <xf numFmtId="164" fontId="83" fillId="39" borderId="62" xfId="129" applyFont="1" applyFill="1" applyBorder="1" applyAlignment="1" applyProtection="1">
      <alignment horizontal="center" vertical="center" wrapText="1"/>
    </xf>
    <xf numFmtId="0" fontId="82" fillId="0" borderId="0" xfId="4" applyFont="1" applyAlignment="1">
      <alignment vertical="center" wrapText="1"/>
    </xf>
    <xf numFmtId="49" fontId="82" fillId="0" borderId="0" xfId="4" applyNumberFormat="1" applyFont="1" applyAlignment="1">
      <alignment vertical="center" wrapText="1"/>
    </xf>
    <xf numFmtId="0" fontId="50" fillId="0" borderId="0" xfId="4" applyFont="1" applyAlignment="1">
      <alignment vertical="center" wrapText="1"/>
    </xf>
    <xf numFmtId="164" fontId="50" fillId="0" borderId="0" xfId="4" applyNumberFormat="1" applyFont="1" applyAlignment="1">
      <alignment vertical="center" wrapText="1"/>
    </xf>
    <xf numFmtId="0" fontId="47" fillId="4" borderId="63" xfId="5" applyFont="1" applyFill="1" applyBorder="1" applyAlignment="1">
      <alignment horizontal="center" vertical="center" wrapText="1"/>
    </xf>
    <xf numFmtId="0" fontId="50" fillId="4" borderId="45" xfId="77" applyFont="1" applyFill="1" applyBorder="1" applyAlignment="1">
      <alignment horizontal="center" vertical="center" wrapText="1"/>
    </xf>
    <xf numFmtId="0" fontId="50" fillId="4" borderId="45" xfId="77" applyFont="1" applyFill="1" applyBorder="1" applyAlignment="1">
      <alignment horizontal="left" vertical="center" wrapText="1"/>
    </xf>
    <xf numFmtId="164" fontId="84" fillId="4" borderId="39" xfId="129" applyFont="1" applyFill="1" applyBorder="1" applyAlignment="1">
      <alignment horizontal="center" vertical="center" wrapText="1"/>
    </xf>
    <xf numFmtId="0" fontId="82" fillId="24" borderId="0" xfId="4" applyFont="1" applyFill="1" applyAlignment="1">
      <alignment vertical="center" wrapText="1"/>
    </xf>
    <xf numFmtId="0" fontId="55" fillId="31" borderId="63" xfId="5" applyFont="1" applyFill="1" applyBorder="1" applyAlignment="1">
      <alignment horizontal="center" vertical="center" wrapText="1"/>
    </xf>
    <xf numFmtId="0" fontId="56" fillId="31" borderId="45" xfId="77" applyFont="1" applyFill="1" applyBorder="1" applyAlignment="1">
      <alignment horizontal="center" vertical="center" wrapText="1"/>
    </xf>
    <xf numFmtId="0" fontId="56" fillId="31" borderId="45" xfId="77" applyFont="1" applyFill="1" applyBorder="1" applyAlignment="1">
      <alignment horizontal="left" vertical="center" wrapText="1"/>
    </xf>
    <xf numFmtId="164" fontId="84" fillId="31" borderId="39" xfId="129" applyFont="1" applyFill="1" applyBorder="1" applyAlignment="1">
      <alignment horizontal="center" vertical="center" wrapText="1"/>
    </xf>
    <xf numFmtId="0" fontId="56" fillId="0" borderId="0" xfId="4" applyFont="1" applyAlignment="1">
      <alignment vertical="center" wrapText="1"/>
    </xf>
    <xf numFmtId="0" fontId="47" fillId="0" borderId="63" xfId="5" applyFont="1" applyBorder="1" applyAlignment="1">
      <alignment horizontal="center" vertical="center" wrapText="1"/>
    </xf>
    <xf numFmtId="0" fontId="47" fillId="0" borderId="45" xfId="77" applyFont="1" applyBorder="1" applyAlignment="1">
      <alignment horizontal="center" vertical="center" wrapText="1"/>
    </xf>
    <xf numFmtId="0" fontId="47" fillId="0" borderId="45" xfId="77" applyFont="1" applyBorder="1" applyAlignment="1">
      <alignment horizontal="left" vertical="center" wrapText="1"/>
    </xf>
    <xf numFmtId="164" fontId="84" fillId="0" borderId="39" xfId="129" applyFont="1" applyBorder="1" applyAlignment="1">
      <alignment horizontal="center" vertical="center" wrapText="1"/>
    </xf>
    <xf numFmtId="49" fontId="49" fillId="0" borderId="0" xfId="4" applyNumberFormat="1" applyFont="1" applyAlignment="1">
      <alignment vertical="center" wrapText="1"/>
    </xf>
    <xf numFmtId="0" fontId="47" fillId="0" borderId="0" xfId="4" applyFont="1" applyAlignment="1">
      <alignment vertical="center" wrapText="1"/>
    </xf>
    <xf numFmtId="0" fontId="47" fillId="31" borderId="63" xfId="5" applyFont="1" applyFill="1" applyBorder="1" applyAlignment="1">
      <alignment horizontal="center" vertical="center" wrapText="1"/>
    </xf>
    <xf numFmtId="0" fontId="56" fillId="0" borderId="45" xfId="77" applyFont="1" applyBorder="1" applyAlignment="1">
      <alignment horizontal="center" vertical="center" wrapText="1"/>
    </xf>
    <xf numFmtId="0" fontId="56" fillId="0" borderId="45" xfId="77" applyFont="1" applyBorder="1" applyAlignment="1">
      <alignment horizontal="left" vertical="center" wrapText="1"/>
    </xf>
    <xf numFmtId="0" fontId="47" fillId="0" borderId="105" xfId="5" applyFont="1" applyBorder="1" applyAlignment="1">
      <alignment horizontal="center" vertical="center" wrapText="1"/>
    </xf>
    <xf numFmtId="0" fontId="47" fillId="0" borderId="65" xfId="5" applyFont="1" applyBorder="1" applyAlignment="1">
      <alignment horizontal="center" vertical="center" wrapText="1"/>
    </xf>
    <xf numFmtId="0" fontId="47" fillId="0" borderId="18" xfId="77" applyFont="1" applyBorder="1" applyAlignment="1">
      <alignment horizontal="center" vertical="center" wrapText="1"/>
    </xf>
    <xf numFmtId="0" fontId="47" fillId="0" borderId="18" xfId="77" applyFont="1" applyBorder="1" applyAlignment="1">
      <alignment horizontal="left" vertical="center" wrapText="1"/>
    </xf>
    <xf numFmtId="0" fontId="47" fillId="4" borderId="105" xfId="5" applyFont="1" applyFill="1" applyBorder="1" applyAlignment="1">
      <alignment horizontal="center" vertical="center" wrapText="1"/>
    </xf>
    <xf numFmtId="0" fontId="50" fillId="4" borderId="61" xfId="77" applyFont="1" applyFill="1" applyBorder="1" applyAlignment="1">
      <alignment horizontal="center" vertical="center" wrapText="1"/>
    </xf>
    <xf numFmtId="0" fontId="50" fillId="4" borderId="61" xfId="77" applyFont="1" applyFill="1" applyBorder="1" applyAlignment="1">
      <alignment horizontal="left" vertical="center" wrapText="1"/>
    </xf>
    <xf numFmtId="164" fontId="84" fillId="4" borderId="62" xfId="129" applyFont="1" applyFill="1" applyBorder="1" applyAlignment="1">
      <alignment horizontal="center" vertical="center" wrapText="1"/>
    </xf>
    <xf numFmtId="164" fontId="84" fillId="39" borderId="62" xfId="129" applyFont="1" applyFill="1" applyBorder="1" applyAlignment="1">
      <alignment horizontal="center" vertical="center" wrapText="1"/>
    </xf>
    <xf numFmtId="0" fontId="47" fillId="24" borderId="63" xfId="5" applyFont="1" applyFill="1" applyBorder="1" applyAlignment="1">
      <alignment horizontal="center" vertical="center" wrapText="1"/>
    </xf>
    <xf numFmtId="0" fontId="47" fillId="24" borderId="45" xfId="77" applyFont="1" applyFill="1" applyBorder="1" applyAlignment="1">
      <alignment horizontal="center" vertical="center" wrapText="1"/>
    </xf>
    <xf numFmtId="0" fontId="47" fillId="24" borderId="45" xfId="77" applyFont="1" applyFill="1" applyBorder="1" applyAlignment="1">
      <alignment horizontal="left" vertical="center" wrapText="1"/>
    </xf>
    <xf numFmtId="49" fontId="49" fillId="24" borderId="0" xfId="4" applyNumberFormat="1" applyFont="1" applyFill="1" applyAlignment="1">
      <alignment vertical="center" wrapText="1"/>
    </xf>
    <xf numFmtId="0" fontId="49" fillId="24" borderId="0" xfId="4" applyFont="1" applyFill="1" applyAlignment="1">
      <alignment vertical="center" wrapText="1"/>
    </xf>
    <xf numFmtId="49" fontId="47" fillId="24" borderId="0" xfId="4" applyNumberFormat="1" applyFont="1" applyFill="1" applyAlignment="1">
      <alignment vertical="center" wrapText="1"/>
    </xf>
    <xf numFmtId="0" fontId="57" fillId="24" borderId="63" xfId="5" applyFont="1" applyFill="1" applyBorder="1" applyAlignment="1">
      <alignment horizontal="center" vertical="center" wrapText="1"/>
    </xf>
    <xf numFmtId="0" fontId="47" fillId="40" borderId="63" xfId="5" applyFont="1" applyFill="1" applyBorder="1" applyAlignment="1">
      <alignment horizontal="center" vertical="center" wrapText="1"/>
    </xf>
    <xf numFmtId="0" fontId="47" fillId="40" borderId="45" xfId="77" applyFont="1" applyFill="1" applyBorder="1" applyAlignment="1">
      <alignment horizontal="center" vertical="center" wrapText="1"/>
    </xf>
    <xf numFmtId="0" fontId="47" fillId="40" borderId="45" xfId="77" applyFont="1" applyFill="1" applyBorder="1" applyAlignment="1">
      <alignment horizontal="left" vertical="center" wrapText="1"/>
    </xf>
    <xf numFmtId="164" fontId="84" fillId="40" borderId="39" xfId="129" applyFont="1" applyFill="1" applyBorder="1" applyAlignment="1">
      <alignment horizontal="center" vertical="center" wrapText="1"/>
    </xf>
    <xf numFmtId="0" fontId="47" fillId="24" borderId="45" xfId="77" applyFont="1" applyFill="1" applyBorder="1" applyAlignment="1">
      <alignment vertical="center" wrapText="1"/>
    </xf>
    <xf numFmtId="0" fontId="47" fillId="24" borderId="63" xfId="5" applyFont="1" applyFill="1" applyBorder="1" applyAlignment="1">
      <alignment horizontal="center" vertical="center"/>
    </xf>
    <xf numFmtId="0" fontId="57" fillId="40" borderId="63" xfId="5" applyFont="1" applyFill="1" applyBorder="1" applyAlignment="1">
      <alignment horizontal="center" vertical="center"/>
    </xf>
    <xf numFmtId="0" fontId="47" fillId="40" borderId="45" xfId="77" applyFont="1" applyFill="1" applyBorder="1" applyAlignment="1">
      <alignment vertical="center" wrapText="1"/>
    </xf>
    <xf numFmtId="0" fontId="49" fillId="0" borderId="0" xfId="4" applyFont="1" applyAlignment="1">
      <alignment vertical="center" wrapText="1"/>
    </xf>
    <xf numFmtId="49" fontId="47" fillId="0" borderId="0" xfId="4" applyNumberFormat="1" applyFont="1" applyAlignment="1">
      <alignment vertical="center" wrapText="1"/>
    </xf>
    <xf numFmtId="0" fontId="47" fillId="0" borderId="63" xfId="5" applyFont="1" applyBorder="1" applyAlignment="1">
      <alignment horizontal="center" vertical="center"/>
    </xf>
    <xf numFmtId="0" fontId="47" fillId="0" borderId="45" xfId="77" applyFont="1" applyBorder="1" applyAlignment="1">
      <alignment vertical="center" wrapText="1"/>
    </xf>
    <xf numFmtId="0" fontId="47" fillId="0" borderId="106" xfId="5" applyFont="1" applyBorder="1" applyAlignment="1">
      <alignment horizontal="center" vertical="center"/>
    </xf>
    <xf numFmtId="0" fontId="85" fillId="31" borderId="63" xfId="5" applyFont="1" applyFill="1" applyBorder="1" applyAlignment="1">
      <alignment horizontal="center" vertical="center" wrapText="1"/>
    </xf>
    <xf numFmtId="0" fontId="47" fillId="0" borderId="39" xfId="77" applyFont="1" applyBorder="1" applyAlignment="1">
      <alignment horizontal="center" vertical="center" wrapText="1"/>
    </xf>
    <xf numFmtId="0" fontId="47" fillId="0" borderId="2" xfId="132" applyFont="1" applyBorder="1" applyAlignment="1">
      <alignment horizontal="left" vertical="center"/>
    </xf>
    <xf numFmtId="0" fontId="47" fillId="0" borderId="39" xfId="132" applyFont="1" applyBorder="1" applyAlignment="1">
      <alignment horizontal="center" vertical="center"/>
    </xf>
    <xf numFmtId="0" fontId="47" fillId="0" borderId="39" xfId="77" applyFont="1" applyBorder="1" applyAlignment="1">
      <alignment horizontal="left" vertical="center" wrapText="1"/>
    </xf>
    <xf numFmtId="0" fontId="47" fillId="40" borderId="39" xfId="77" applyFont="1" applyFill="1" applyBorder="1" applyAlignment="1">
      <alignment horizontal="center" vertical="center" wrapText="1"/>
    </xf>
    <xf numFmtId="0" fontId="47" fillId="40" borderId="39" xfId="77" applyFont="1" applyFill="1" applyBorder="1" applyAlignment="1">
      <alignment horizontal="left" vertical="center" wrapText="1"/>
    </xf>
    <xf numFmtId="0" fontId="50" fillId="4" borderId="102" xfId="77" applyFont="1" applyFill="1" applyBorder="1" applyAlignment="1">
      <alignment horizontal="center" vertical="center" wrapText="1"/>
    </xf>
    <xf numFmtId="0" fontId="50" fillId="4" borderId="102" xfId="77" applyFont="1" applyFill="1" applyBorder="1" applyAlignment="1">
      <alignment horizontal="left" vertical="center" wrapText="1"/>
    </xf>
    <xf numFmtId="164" fontId="84" fillId="4" borderId="38" xfId="129" applyFont="1" applyFill="1" applyBorder="1" applyAlignment="1">
      <alignment horizontal="center" vertical="center" wrapText="1"/>
    </xf>
    <xf numFmtId="0" fontId="56" fillId="0" borderId="18" xfId="77" applyFont="1" applyBorder="1" applyAlignment="1">
      <alignment horizontal="center" vertical="center" wrapText="1"/>
    </xf>
    <xf numFmtId="0" fontId="56" fillId="0" borderId="18" xfId="77" applyFont="1" applyBorder="1" applyAlignment="1">
      <alignment horizontal="left" vertical="center" wrapText="1"/>
    </xf>
    <xf numFmtId="0" fontId="50" fillId="0" borderId="63" xfId="5" applyFont="1" applyBorder="1" applyAlignment="1">
      <alignment horizontal="center" vertical="center" wrapText="1"/>
    </xf>
    <xf numFmtId="0" fontId="50" fillId="0" borderId="65" xfId="5" applyFont="1" applyBorder="1" applyAlignment="1">
      <alignment horizontal="center" vertical="center" wrapText="1"/>
    </xf>
    <xf numFmtId="0" fontId="47" fillId="41" borderId="60" xfId="5" applyFont="1" applyFill="1" applyBorder="1" applyAlignment="1">
      <alignment horizontal="center" vertical="center" wrapText="1"/>
    </xf>
    <xf numFmtId="0" fontId="50" fillId="41" borderId="30" xfId="77" applyFont="1" applyFill="1" applyBorder="1" applyAlignment="1">
      <alignment horizontal="center" vertical="center" wrapText="1"/>
    </xf>
    <xf numFmtId="0" fontId="50" fillId="41" borderId="30" xfId="77" applyFont="1" applyFill="1" applyBorder="1" applyAlignment="1">
      <alignment horizontal="left" vertical="center" wrapText="1"/>
    </xf>
    <xf numFmtId="164" fontId="84" fillId="41" borderId="34" xfId="129" applyFont="1" applyFill="1" applyBorder="1" applyAlignment="1">
      <alignment horizontal="center" vertical="center" wrapText="1"/>
    </xf>
    <xf numFmtId="0" fontId="47" fillId="39" borderId="69" xfId="5" applyFont="1" applyFill="1" applyBorder="1" applyAlignment="1">
      <alignment horizontal="center" vertical="center" wrapText="1"/>
    </xf>
    <xf numFmtId="0" fontId="50" fillId="39" borderId="102" xfId="77" applyFont="1" applyFill="1" applyBorder="1" applyAlignment="1">
      <alignment horizontal="left" vertical="center" wrapText="1"/>
    </xf>
    <xf numFmtId="164" fontId="84" fillId="39" borderId="38" xfId="129" applyFont="1" applyFill="1" applyBorder="1" applyAlignment="1">
      <alignment horizontal="center" vertical="center" wrapText="1"/>
    </xf>
    <xf numFmtId="0" fontId="50" fillId="24" borderId="45" xfId="77" applyFont="1" applyFill="1" applyBorder="1" applyAlignment="1">
      <alignment horizontal="center" vertical="center" wrapText="1"/>
    </xf>
    <xf numFmtId="0" fontId="50" fillId="24" borderId="45" xfId="77" applyFont="1" applyFill="1" applyBorder="1" applyAlignment="1">
      <alignment horizontal="left" vertical="center" wrapText="1"/>
    </xf>
    <xf numFmtId="0" fontId="47" fillId="0" borderId="106" xfId="5" applyFont="1" applyBorder="1" applyAlignment="1">
      <alignment horizontal="center" vertical="center" wrapText="1"/>
    </xf>
    <xf numFmtId="0" fontId="50" fillId="24" borderId="18" xfId="77" applyFont="1" applyFill="1" applyBorder="1" applyAlignment="1">
      <alignment horizontal="center" vertical="center" wrapText="1"/>
    </xf>
    <xf numFmtId="0" fontId="50" fillId="24" borderId="18" xfId="77" applyFont="1" applyFill="1" applyBorder="1" applyAlignment="1">
      <alignment horizontal="left" vertical="center" wrapText="1"/>
    </xf>
    <xf numFmtId="0" fontId="50" fillId="0" borderId="45" xfId="77" applyFont="1" applyBorder="1" applyAlignment="1">
      <alignment horizontal="center" vertical="center" wrapText="1"/>
    </xf>
    <xf numFmtId="0" fontId="50" fillId="0" borderId="45" xfId="77" applyFont="1" applyBorder="1" applyAlignment="1">
      <alignment horizontal="left" vertical="center" wrapText="1"/>
    </xf>
    <xf numFmtId="0" fontId="50" fillId="0" borderId="18" xfId="77" applyFont="1" applyBorder="1" applyAlignment="1">
      <alignment horizontal="center" vertical="center" wrapText="1"/>
    </xf>
    <xf numFmtId="0" fontId="50" fillId="0" borderId="18" xfId="77" applyFont="1" applyBorder="1" applyAlignment="1">
      <alignment horizontal="left" vertical="center" wrapText="1"/>
    </xf>
    <xf numFmtId="0" fontId="56" fillId="24" borderId="45" xfId="77" applyFont="1" applyFill="1" applyBorder="1" applyAlignment="1">
      <alignment horizontal="center" vertical="center" wrapText="1"/>
    </xf>
    <xf numFmtId="0" fontId="56" fillId="24" borderId="45" xfId="77" applyFont="1" applyFill="1" applyBorder="1" applyAlignment="1">
      <alignment horizontal="left" vertical="center" wrapText="1"/>
    </xf>
    <xf numFmtId="0" fontId="56" fillId="0" borderId="6" xfId="77" applyFont="1" applyBorder="1" applyAlignment="1">
      <alignment horizontal="center" vertical="center" wrapText="1"/>
    </xf>
    <xf numFmtId="0" fontId="56" fillId="0" borderId="45" xfId="77" applyFont="1" applyBorder="1" applyAlignment="1">
      <alignment vertical="center" wrapText="1"/>
    </xf>
    <xf numFmtId="0" fontId="56" fillId="0" borderId="8" xfId="77" applyFont="1" applyBorder="1" applyAlignment="1">
      <alignment horizontal="center" vertical="center" wrapText="1"/>
    </xf>
    <xf numFmtId="0" fontId="56" fillId="0" borderId="8" xfId="77" applyFont="1" applyBorder="1" applyAlignment="1">
      <alignment horizontal="left" vertical="center" wrapText="1"/>
    </xf>
    <xf numFmtId="0" fontId="47" fillId="0" borderId="39" xfId="5" applyFont="1" applyBorder="1" applyAlignment="1">
      <alignment horizontal="center" vertical="center" wrapText="1"/>
    </xf>
    <xf numFmtId="0" fontId="56" fillId="0" borderId="39" xfId="77" applyFont="1" applyBorder="1" applyAlignment="1">
      <alignment horizontal="center" vertical="center" wrapText="1"/>
    </xf>
    <xf numFmtId="0" fontId="56" fillId="0" borderId="39" xfId="77" applyFont="1" applyBorder="1" applyAlignment="1">
      <alignment horizontal="left" vertical="center" wrapText="1"/>
    </xf>
    <xf numFmtId="0" fontId="50" fillId="39" borderId="102" xfId="77" applyFont="1" applyFill="1" applyBorder="1" applyAlignment="1">
      <alignment horizontal="center" vertical="center" wrapText="1"/>
    </xf>
    <xf numFmtId="0" fontId="47" fillId="39" borderId="63" xfId="5" applyFont="1" applyFill="1" applyBorder="1" applyAlignment="1">
      <alignment horizontal="center" vertical="center" wrapText="1"/>
    </xf>
    <xf numFmtId="0" fontId="50" fillId="39" borderId="45" xfId="77" applyFont="1" applyFill="1" applyBorder="1" applyAlignment="1">
      <alignment horizontal="center" vertical="center" wrapText="1"/>
    </xf>
    <xf numFmtId="0" fontId="50" fillId="24" borderId="63" xfId="5" applyFont="1" applyFill="1" applyBorder="1" applyAlignment="1">
      <alignment horizontal="center" vertical="center" wrapText="1"/>
    </xf>
    <xf numFmtId="0" fontId="56" fillId="24" borderId="6" xfId="77" applyFont="1" applyFill="1" applyBorder="1" applyAlignment="1">
      <alignment horizontal="center" vertical="center" wrapText="1"/>
    </xf>
    <xf numFmtId="0" fontId="56" fillId="24" borderId="45" xfId="77" applyFont="1" applyFill="1" applyBorder="1" applyAlignment="1">
      <alignment vertical="center" wrapText="1"/>
    </xf>
    <xf numFmtId="0" fontId="50" fillId="0" borderId="106" xfId="5" applyFont="1" applyBorder="1" applyAlignment="1">
      <alignment horizontal="center" vertical="center"/>
    </xf>
    <xf numFmtId="0" fontId="50" fillId="24" borderId="6" xfId="77" applyFont="1" applyFill="1" applyBorder="1" applyAlignment="1">
      <alignment horizontal="center" vertical="center" wrapText="1"/>
    </xf>
    <xf numFmtId="0" fontId="50" fillId="0" borderId="45" xfId="77" applyFont="1" applyBorder="1" applyAlignment="1">
      <alignment vertical="center" wrapText="1"/>
    </xf>
    <xf numFmtId="0" fontId="50" fillId="24" borderId="63" xfId="5" applyFont="1" applyFill="1" applyBorder="1" applyAlignment="1">
      <alignment horizontal="center" vertical="center"/>
    </xf>
    <xf numFmtId="0" fontId="47" fillId="24" borderId="6" xfId="77" applyFont="1" applyFill="1" applyBorder="1" applyAlignment="1">
      <alignment horizontal="center" vertical="center" wrapText="1"/>
    </xf>
    <xf numFmtId="0" fontId="56" fillId="0" borderId="39" xfId="132" applyFont="1" applyBorder="1" applyAlignment="1">
      <alignment vertical="center"/>
    </xf>
    <xf numFmtId="0" fontId="56" fillId="0" borderId="39" xfId="132" applyFont="1" applyBorder="1" applyAlignment="1">
      <alignment horizontal="center" vertical="center" wrapText="1"/>
    </xf>
    <xf numFmtId="0" fontId="56" fillId="0" borderId="39" xfId="132" applyFont="1" applyBorder="1" applyAlignment="1">
      <alignment vertical="center" wrapText="1"/>
    </xf>
    <xf numFmtId="0" fontId="50" fillId="0" borderId="106" xfId="5" applyFont="1" applyBorder="1" applyAlignment="1">
      <alignment horizontal="center" vertical="center" wrapText="1"/>
    </xf>
    <xf numFmtId="0" fontId="50" fillId="41" borderId="58" xfId="77" applyFont="1" applyFill="1" applyBorder="1" applyAlignment="1">
      <alignment horizontal="center" vertical="center" wrapText="1"/>
    </xf>
    <xf numFmtId="0" fontId="50" fillId="41" borderId="58" xfId="77" applyFont="1" applyFill="1" applyBorder="1" applyAlignment="1">
      <alignment horizontal="left" vertical="center" wrapText="1"/>
    </xf>
    <xf numFmtId="164" fontId="84" fillId="41" borderId="35" xfId="129" applyFont="1" applyFill="1" applyBorder="1" applyAlignment="1">
      <alignment horizontal="center" vertical="center" wrapText="1"/>
    </xf>
    <xf numFmtId="164" fontId="84" fillId="0" borderId="44" xfId="129" applyFont="1" applyBorder="1" applyAlignment="1">
      <alignment horizontal="center" vertical="center" wrapText="1"/>
    </xf>
    <xf numFmtId="49" fontId="49" fillId="23" borderId="0" xfId="4" applyNumberFormat="1" applyFont="1" applyFill="1" applyAlignment="1">
      <alignment vertical="center"/>
    </xf>
    <xf numFmtId="0" fontId="8" fillId="0" borderId="0" xfId="79" applyFont="1"/>
    <xf numFmtId="1" fontId="6" fillId="25" borderId="107" xfId="5" applyNumberFormat="1" applyFont="1" applyFill="1" applyBorder="1" applyAlignment="1">
      <alignment vertical="center" wrapText="1"/>
    </xf>
    <xf numFmtId="1" fontId="6" fillId="25" borderId="15" xfId="5" applyNumberFormat="1" applyFont="1" applyFill="1" applyBorder="1" applyAlignment="1">
      <alignment vertical="center" wrapText="1"/>
    </xf>
    <xf numFmtId="1" fontId="6" fillId="25" borderId="14" xfId="5" applyNumberFormat="1" applyFont="1" applyFill="1" applyBorder="1" applyAlignment="1">
      <alignment vertical="center" wrapText="1"/>
    </xf>
    <xf numFmtId="4" fontId="6" fillId="25" borderId="13" xfId="5" applyNumberFormat="1" applyFont="1" applyFill="1" applyBorder="1" applyAlignment="1">
      <alignment horizontal="left" vertical="center" wrapText="1"/>
    </xf>
    <xf numFmtId="0" fontId="6" fillId="25" borderId="108" xfId="5" applyFont="1" applyFill="1" applyBorder="1" applyAlignment="1">
      <alignment horizontal="center" wrapText="1"/>
    </xf>
    <xf numFmtId="43" fontId="6" fillId="25" borderId="108" xfId="1" applyFont="1" applyFill="1" applyBorder="1" applyAlignment="1" applyProtection="1">
      <alignment horizontal="center" vertical="center" wrapText="1"/>
    </xf>
    <xf numFmtId="0" fontId="6" fillId="0" borderId="0" xfId="4" applyFont="1" applyAlignment="1">
      <alignment vertical="center"/>
    </xf>
    <xf numFmtId="179" fontId="6" fillId="0" borderId="0" xfId="4" applyNumberFormat="1" applyFont="1" applyAlignment="1">
      <alignment vertical="center"/>
    </xf>
    <xf numFmtId="1" fontId="8" fillId="0" borderId="6" xfId="5" applyNumberFormat="1" applyFont="1" applyBorder="1" applyAlignment="1">
      <alignment horizontal="right" vertical="center"/>
    </xf>
    <xf numFmtId="1" fontId="6" fillId="0" borderId="3" xfId="5" applyNumberFormat="1" applyFont="1" applyBorder="1" applyAlignment="1">
      <alignment horizontal="right" vertical="center"/>
    </xf>
    <xf numFmtId="1" fontId="6" fillId="0" borderId="63" xfId="5" applyNumberFormat="1" applyFont="1" applyBorder="1" applyAlignment="1">
      <alignment horizontal="right" vertical="center"/>
    </xf>
    <xf numFmtId="0" fontId="6" fillId="0" borderId="45" xfId="77" applyFont="1" applyBorder="1" applyAlignment="1">
      <alignment vertical="center" wrapText="1"/>
    </xf>
    <xf numFmtId="0" fontId="8" fillId="0" borderId="39" xfId="77" applyFont="1" applyBorder="1" applyAlignment="1">
      <alignment horizontal="center" wrapText="1"/>
    </xf>
    <xf numFmtId="179" fontId="8" fillId="0" borderId="39" xfId="1" applyNumberFormat="1" applyFont="1" applyFill="1" applyBorder="1" applyAlignment="1" applyProtection="1">
      <alignment horizontal="right" vertical="center" wrapText="1"/>
    </xf>
    <xf numFmtId="1" fontId="8" fillId="0" borderId="3" xfId="5" applyNumberFormat="1" applyFont="1" applyBorder="1" applyAlignment="1">
      <alignment horizontal="right" vertical="center"/>
    </xf>
    <xf numFmtId="1" fontId="8" fillId="0" borderId="63" xfId="5" applyNumberFormat="1" applyFont="1" applyBorder="1" applyAlignment="1">
      <alignment horizontal="right" vertical="center"/>
    </xf>
    <xf numFmtId="0" fontId="8" fillId="0" borderId="45" xfId="77" applyFont="1" applyBorder="1" applyAlignment="1">
      <alignment vertical="center" wrapText="1"/>
    </xf>
    <xf numFmtId="43" fontId="8" fillId="25" borderId="39" xfId="1" applyFont="1" applyFill="1" applyBorder="1" applyAlignment="1" applyProtection="1">
      <alignment horizontal="center" vertical="center" wrapText="1"/>
    </xf>
    <xf numFmtId="1" fontId="6" fillId="25" borderId="36" xfId="5" applyNumberFormat="1" applyFont="1" applyFill="1" applyBorder="1" applyAlignment="1">
      <alignment horizontal="right" vertical="center" wrapText="1"/>
    </xf>
    <xf numFmtId="1" fontId="6" fillId="25" borderId="37" xfId="5" applyNumberFormat="1" applyFont="1" applyFill="1" applyBorder="1" applyAlignment="1">
      <alignment horizontal="right" vertical="center" wrapText="1"/>
    </xf>
    <xf numFmtId="1" fontId="6" fillId="25" borderId="99" xfId="5" applyNumberFormat="1" applyFont="1" applyFill="1" applyBorder="1" applyAlignment="1">
      <alignment vertical="center" wrapText="1"/>
    </xf>
    <xf numFmtId="0" fontId="6" fillId="25" borderId="46" xfId="5" applyFont="1" applyFill="1" applyBorder="1" applyAlignment="1">
      <alignment horizontal="left" vertical="center" wrapText="1"/>
    </xf>
    <xf numFmtId="0" fontId="6" fillId="25" borderId="38" xfId="5" applyFont="1" applyFill="1" applyBorder="1" applyAlignment="1">
      <alignment horizontal="center" wrapText="1"/>
    </xf>
    <xf numFmtId="43" fontId="6" fillId="25" borderId="38" xfId="1" applyFont="1" applyFill="1" applyBorder="1" applyAlignment="1" applyProtection="1">
      <alignment horizontal="center" vertical="center" wrapText="1"/>
    </xf>
    <xf numFmtId="1" fontId="8" fillId="0" borderId="11" xfId="5" applyNumberFormat="1" applyFont="1" applyBorder="1" applyAlignment="1">
      <alignment horizontal="right" vertical="center"/>
    </xf>
    <xf numFmtId="1" fontId="8" fillId="0" borderId="106" xfId="5" applyNumberFormat="1" applyFont="1" applyBorder="1" applyAlignment="1">
      <alignment horizontal="right" vertical="center"/>
    </xf>
    <xf numFmtId="1" fontId="6" fillId="0" borderId="11" xfId="5" applyNumberFormat="1" applyFont="1" applyBorder="1" applyAlignment="1">
      <alignment horizontal="right" vertical="center"/>
    </xf>
    <xf numFmtId="1" fontId="6" fillId="0" borderId="106" xfId="5" applyNumberFormat="1" applyFont="1" applyBorder="1" applyAlignment="1">
      <alignment horizontal="right" vertical="center"/>
    </xf>
    <xf numFmtId="1" fontId="8" fillId="0" borderId="41" xfId="5" applyNumberFormat="1" applyFont="1" applyBorder="1" applyAlignment="1">
      <alignment horizontal="right" vertical="center"/>
    </xf>
    <xf numFmtId="0" fontId="6" fillId="0" borderId="8" xfId="77" applyFont="1" applyBorder="1" applyAlignment="1">
      <alignment vertical="center" wrapText="1"/>
    </xf>
    <xf numFmtId="0" fontId="8" fillId="0" borderId="109" xfId="77" applyFont="1" applyBorder="1" applyAlignment="1">
      <alignment horizontal="center" wrapText="1"/>
    </xf>
    <xf numFmtId="1" fontId="6" fillId="25" borderId="6" xfId="5" applyNumberFormat="1" applyFont="1" applyFill="1" applyBorder="1" applyAlignment="1">
      <alignment horizontal="right" vertical="center" wrapText="1"/>
    </xf>
    <xf numFmtId="1" fontId="6" fillId="25" borderId="3" xfId="5" applyNumberFormat="1" applyFont="1" applyFill="1" applyBorder="1" applyAlignment="1">
      <alignment horizontal="right" vertical="center" wrapText="1"/>
    </xf>
    <xf numFmtId="1" fontId="6" fillId="25" borderId="17" xfId="5" applyNumberFormat="1" applyFont="1" applyFill="1" applyBorder="1" applyAlignment="1">
      <alignment vertical="center" wrapText="1"/>
    </xf>
    <xf numFmtId="0" fontId="6" fillId="25" borderId="1" xfId="5" applyFont="1" applyFill="1" applyBorder="1" applyAlignment="1">
      <alignment horizontal="left" vertical="center" wrapText="1"/>
    </xf>
    <xf numFmtId="0" fontId="6" fillId="25" borderId="39" xfId="5" applyFont="1" applyFill="1" applyBorder="1" applyAlignment="1">
      <alignment horizontal="center" wrapText="1"/>
    </xf>
    <xf numFmtId="43" fontId="6" fillId="25" borderId="39" xfId="1" applyFont="1" applyFill="1" applyBorder="1" applyAlignment="1" applyProtection="1">
      <alignment horizontal="center" vertical="center" wrapText="1"/>
    </xf>
    <xf numFmtId="179" fontId="8" fillId="0" borderId="0" xfId="4" applyNumberFormat="1" applyFont="1" applyAlignment="1">
      <alignment vertical="center"/>
    </xf>
    <xf numFmtId="0" fontId="6" fillId="0" borderId="45" xfId="5" applyFont="1" applyBorder="1" applyAlignment="1">
      <alignment horizontal="left" vertical="center"/>
    </xf>
    <xf numFmtId="0" fontId="6" fillId="0" borderId="45" xfId="5" applyFont="1" applyBorder="1" applyAlignment="1">
      <alignment horizontal="left" vertical="center" wrapText="1"/>
    </xf>
    <xf numFmtId="1" fontId="6" fillId="25" borderId="99" xfId="5" applyNumberFormat="1" applyFont="1" applyFill="1" applyBorder="1" applyAlignment="1">
      <alignment horizontal="right" vertical="center" wrapText="1"/>
    </xf>
    <xf numFmtId="0" fontId="8" fillId="0" borderId="38" xfId="5" applyFont="1" applyBorder="1" applyAlignment="1">
      <alignment horizontal="center" wrapText="1"/>
    </xf>
    <xf numFmtId="43" fontId="8" fillId="25" borderId="38" xfId="1" applyFont="1" applyFill="1" applyBorder="1" applyAlignment="1" applyProtection="1">
      <alignment horizontal="center" vertical="center" wrapText="1"/>
    </xf>
    <xf numFmtId="0" fontId="6" fillId="0" borderId="45" xfId="77" applyFont="1" applyBorder="1" applyAlignment="1">
      <alignment vertical="center"/>
    </xf>
    <xf numFmtId="1" fontId="6" fillId="0" borderId="3" xfId="77" applyNumberFormat="1" applyFont="1" applyBorder="1" applyAlignment="1">
      <alignment horizontal="right" vertical="center" wrapText="1"/>
    </xf>
    <xf numFmtId="1" fontId="6" fillId="0" borderId="63" xfId="77" applyNumberFormat="1" applyFont="1" applyBorder="1" applyAlignment="1">
      <alignment horizontal="right" vertical="center" wrapText="1"/>
    </xf>
    <xf numFmtId="179" fontId="8" fillId="25" borderId="39" xfId="1" applyNumberFormat="1" applyFont="1" applyFill="1" applyBorder="1" applyAlignment="1" applyProtection="1">
      <alignment horizontal="right" vertical="center" wrapText="1"/>
    </xf>
    <xf numFmtId="1" fontId="8" fillId="0" borderId="37" xfId="5" applyNumberFormat="1" applyFont="1" applyBorder="1" applyAlignment="1">
      <alignment horizontal="right" vertical="center"/>
    </xf>
    <xf numFmtId="43" fontId="8" fillId="25" borderId="39" xfId="1" applyFont="1" applyFill="1" applyBorder="1" applyAlignment="1" applyProtection="1">
      <alignment horizontal="center" vertical="center"/>
    </xf>
    <xf numFmtId="0" fontId="8" fillId="0" borderId="38" xfId="77" applyFont="1" applyBorder="1" applyAlignment="1">
      <alignment horizontal="center" wrapText="1"/>
    </xf>
    <xf numFmtId="43" fontId="8" fillId="25" borderId="38" xfId="1" applyFont="1" applyFill="1" applyBorder="1" applyAlignment="1" applyProtection="1">
      <alignment horizontal="center" vertical="center"/>
    </xf>
    <xf numFmtId="43" fontId="8" fillId="25" borderId="39" xfId="1" applyFont="1" applyFill="1" applyBorder="1" applyAlignment="1">
      <alignment horizontal="center" vertical="center"/>
    </xf>
    <xf numFmtId="1" fontId="6" fillId="0" borderId="2" xfId="5" applyNumberFormat="1" applyFont="1" applyBorder="1" applyAlignment="1">
      <alignment horizontal="right" vertical="center"/>
    </xf>
    <xf numFmtId="0" fontId="6" fillId="0" borderId="39" xfId="77" applyFont="1" applyBorder="1" applyAlignment="1">
      <alignment vertical="center" wrapText="1"/>
    </xf>
    <xf numFmtId="1" fontId="8" fillId="0" borderId="103" xfId="5" applyNumberFormat="1" applyFont="1" applyBorder="1" applyAlignment="1">
      <alignment horizontal="right" vertical="center"/>
    </xf>
    <xf numFmtId="0" fontId="8" fillId="0" borderId="38" xfId="77" applyFont="1" applyBorder="1" applyAlignment="1">
      <alignment vertical="center" wrapText="1"/>
    </xf>
    <xf numFmtId="1" fontId="6" fillId="0" borderId="37" xfId="5" applyNumberFormat="1" applyFont="1" applyBorder="1" applyAlignment="1">
      <alignment horizontal="right" vertical="center"/>
    </xf>
    <xf numFmtId="1" fontId="6" fillId="0" borderId="103" xfId="5" applyNumberFormat="1" applyFont="1" applyBorder="1" applyAlignment="1">
      <alignment horizontal="right" vertical="center"/>
    </xf>
    <xf numFmtId="0" fontId="6" fillId="0" borderId="38" xfId="77" applyFont="1" applyBorder="1" applyAlignment="1">
      <alignment vertical="center" wrapText="1"/>
    </xf>
    <xf numFmtId="0" fontId="8" fillId="25" borderId="38" xfId="5" applyFont="1" applyFill="1" applyBorder="1" applyAlignment="1">
      <alignment horizontal="center" wrapText="1"/>
    </xf>
    <xf numFmtId="4" fontId="8" fillId="0" borderId="39" xfId="77" applyNumberFormat="1" applyFont="1" applyBorder="1" applyAlignment="1">
      <alignment horizontal="center" wrapText="1"/>
    </xf>
    <xf numFmtId="179" fontId="8" fillId="0" borderId="39" xfId="1" applyNumberFormat="1" applyFont="1" applyFill="1" applyBorder="1" applyAlignment="1" applyProtection="1">
      <alignment horizontal="right" vertical="center"/>
    </xf>
    <xf numFmtId="1" fontId="6" fillId="41" borderId="36" xfId="5" applyNumberFormat="1" applyFont="1" applyFill="1" applyBorder="1" applyAlignment="1">
      <alignment horizontal="right" vertical="center" wrapText="1"/>
    </xf>
    <xf numFmtId="1" fontId="6" fillId="41" borderId="37" xfId="5" applyNumberFormat="1" applyFont="1" applyFill="1" applyBorder="1" applyAlignment="1">
      <alignment horizontal="right" vertical="center" wrapText="1"/>
    </xf>
    <xf numFmtId="1" fontId="6" fillId="41" borderId="99" xfId="5" applyNumberFormat="1" applyFont="1" applyFill="1" applyBorder="1" applyAlignment="1">
      <alignment vertical="center" wrapText="1"/>
    </xf>
    <xf numFmtId="0" fontId="6" fillId="41" borderId="46" xfId="5" applyFont="1" applyFill="1" applyBorder="1" applyAlignment="1">
      <alignment horizontal="left" vertical="center" wrapText="1"/>
    </xf>
    <xf numFmtId="0" fontId="6" fillId="41" borderId="38" xfId="5" applyFont="1" applyFill="1" applyBorder="1" applyAlignment="1">
      <alignment horizontal="center" wrapText="1"/>
    </xf>
    <xf numFmtId="43" fontId="6" fillId="41" borderId="38" xfId="1" applyFont="1" applyFill="1" applyBorder="1" applyAlignment="1" applyProtection="1">
      <alignment horizontal="center" vertical="center"/>
    </xf>
    <xf numFmtId="43" fontId="8" fillId="0" borderId="0" xfId="4" applyNumberFormat="1" applyFont="1" applyAlignment="1">
      <alignment vertical="center"/>
    </xf>
    <xf numFmtId="43" fontId="8" fillId="0" borderId="39" xfId="1" applyFont="1" applyFill="1" applyBorder="1" applyAlignment="1" applyProtection="1">
      <alignment horizontal="center" vertical="center"/>
    </xf>
    <xf numFmtId="1" fontId="8" fillId="0" borderId="42" xfId="5" applyNumberFormat="1" applyFont="1" applyBorder="1" applyAlignment="1">
      <alignment horizontal="right" vertical="center"/>
    </xf>
    <xf numFmtId="1" fontId="8" fillId="0" borderId="43" xfId="5" applyNumberFormat="1" applyFont="1" applyBorder="1" applyAlignment="1">
      <alignment horizontal="right" vertical="center"/>
    </xf>
    <xf numFmtId="1" fontId="6" fillId="0" borderId="43" xfId="5" applyNumberFormat="1" applyFont="1" applyBorder="1" applyAlignment="1">
      <alignment horizontal="right" vertical="center"/>
    </xf>
    <xf numFmtId="1" fontId="6" fillId="0" borderId="65" xfId="5" applyNumberFormat="1" applyFont="1" applyBorder="1" applyAlignment="1">
      <alignment horizontal="right" vertical="center"/>
    </xf>
    <xf numFmtId="0" fontId="6" fillId="0" borderId="18" xfId="77" applyFont="1" applyBorder="1" applyAlignment="1">
      <alignment vertical="center" wrapText="1"/>
    </xf>
    <xf numFmtId="0" fontId="8" fillId="0" borderId="44" xfId="77" applyFont="1" applyBorder="1" applyAlignment="1">
      <alignment horizontal="center" wrapText="1"/>
    </xf>
    <xf numFmtId="43" fontId="8" fillId="0" borderId="44" xfId="1" applyFont="1" applyFill="1" applyBorder="1" applyAlignment="1" applyProtection="1">
      <alignment horizontal="center" vertical="center"/>
    </xf>
    <xf numFmtId="0" fontId="8" fillId="0" borderId="0" xfId="4" applyFont="1" applyAlignment="1">
      <alignment horizontal="center"/>
    </xf>
    <xf numFmtId="43" fontId="8" fillId="0" borderId="0" xfId="1" applyFont="1" applyFill="1" applyAlignment="1">
      <alignment horizontal="center" vertical="center"/>
    </xf>
    <xf numFmtId="0" fontId="8" fillId="0" borderId="0" xfId="79" applyFont="1" applyAlignment="1">
      <alignment horizontal="center"/>
    </xf>
    <xf numFmtId="43" fontId="8" fillId="0" borderId="0" xfId="1" applyFont="1"/>
    <xf numFmtId="1" fontId="6" fillId="25" borderId="20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top"/>
      <protection locked="0"/>
    </xf>
    <xf numFmtId="1" fontId="6" fillId="25" borderId="22" xfId="5" applyNumberFormat="1" applyFont="1" applyFill="1" applyBorder="1" applyAlignment="1" applyProtection="1">
      <alignment horizontal="right" vertical="top"/>
      <protection locked="0"/>
    </xf>
    <xf numFmtId="0" fontId="6" fillId="25" borderId="21" xfId="5" applyFont="1" applyFill="1" applyBorder="1" applyAlignment="1">
      <alignment horizontal="left" vertical="center" wrapText="1"/>
    </xf>
    <xf numFmtId="0" fontId="6" fillId="25" borderId="34" xfId="5" applyFont="1" applyFill="1" applyBorder="1" applyAlignment="1">
      <alignment horizontal="center" wrapText="1"/>
    </xf>
    <xf numFmtId="43" fontId="6" fillId="25" borderId="34" xfId="1" applyFont="1" applyFill="1" applyBorder="1" applyAlignment="1" applyProtection="1">
      <alignment horizontal="center" vertical="center"/>
    </xf>
    <xf numFmtId="1" fontId="8" fillId="0" borderId="36" xfId="5" applyNumberFormat="1" applyFont="1" applyBorder="1" applyAlignment="1" applyProtection="1">
      <alignment horizontal="right" vertical="center"/>
      <protection locked="0"/>
    </xf>
    <xf numFmtId="1" fontId="6" fillId="0" borderId="37" xfId="5" applyNumberFormat="1" applyFont="1" applyBorder="1" applyAlignment="1" applyProtection="1">
      <alignment horizontal="right" vertical="center"/>
      <protection locked="0"/>
    </xf>
    <xf numFmtId="1" fontId="8" fillId="0" borderId="37" xfId="5" applyNumberFormat="1" applyFont="1" applyBorder="1" applyAlignment="1" applyProtection="1">
      <alignment horizontal="right" vertical="center"/>
      <protection locked="0"/>
    </xf>
    <xf numFmtId="1" fontId="8" fillId="0" borderId="103" xfId="5" applyNumberFormat="1" applyFont="1" applyBorder="1" applyAlignment="1" applyProtection="1">
      <alignment horizontal="right" vertical="center"/>
      <protection locked="0"/>
    </xf>
    <xf numFmtId="179" fontId="8" fillId="0" borderId="38" xfId="1" applyNumberFormat="1" applyFont="1" applyFill="1" applyBorder="1" applyAlignment="1" applyProtection="1">
      <alignment horizontal="right" vertical="center"/>
    </xf>
    <xf numFmtId="1" fontId="8" fillId="0" borderId="3" xfId="5" applyNumberFormat="1" applyFont="1" applyBorder="1" applyAlignment="1" applyProtection="1">
      <alignment horizontal="right" vertical="center"/>
      <protection locked="0"/>
    </xf>
    <xf numFmtId="1" fontId="8" fillId="0" borderId="2" xfId="5" applyNumberFormat="1" applyFont="1" applyBorder="1" applyAlignment="1" applyProtection="1">
      <alignment horizontal="right" vertical="center"/>
      <protection locked="0"/>
    </xf>
    <xf numFmtId="0" fontId="8" fillId="0" borderId="39" xfId="77" applyFont="1" applyBorder="1" applyAlignment="1">
      <alignment vertical="center" wrapText="1"/>
    </xf>
    <xf numFmtId="1" fontId="6" fillId="0" borderId="3" xfId="5" applyNumberFormat="1" applyFont="1" applyBorder="1" applyAlignment="1" applyProtection="1">
      <alignment horizontal="right" vertical="center"/>
      <protection locked="0"/>
    </xf>
    <xf numFmtId="1" fontId="6" fillId="0" borderId="2" xfId="5" applyNumberFormat="1" applyFont="1" applyBorder="1" applyAlignment="1" applyProtection="1">
      <alignment horizontal="right" vertical="center"/>
      <protection locked="0"/>
    </xf>
    <xf numFmtId="0" fontId="6" fillId="0" borderId="39" xfId="5" applyFont="1" applyBorder="1" applyAlignment="1">
      <alignment horizontal="left" vertical="center" wrapText="1"/>
    </xf>
    <xf numFmtId="1" fontId="8" fillId="0" borderId="107" xfId="5" applyNumberFormat="1" applyFont="1" applyBorder="1" applyAlignment="1" applyProtection="1">
      <alignment horizontal="right" vertical="center"/>
      <protection locked="0"/>
    </xf>
    <xf numFmtId="1" fontId="6" fillId="0" borderId="11" xfId="5" applyNumberFormat="1" applyFont="1" applyBorder="1" applyAlignment="1" applyProtection="1">
      <alignment horizontal="right" vertical="center"/>
      <protection locked="0"/>
    </xf>
    <xf numFmtId="1" fontId="6" fillId="0" borderId="9" xfId="5" applyNumberFormat="1" applyFont="1" applyBorder="1" applyAlignment="1" applyProtection="1">
      <alignment horizontal="right" vertical="center"/>
      <protection locked="0"/>
    </xf>
    <xf numFmtId="0" fontId="6" fillId="0" borderId="109" xfId="77" applyFont="1" applyBorder="1" applyAlignment="1">
      <alignment vertical="center" wrapText="1"/>
    </xf>
    <xf numFmtId="1" fontId="6" fillId="25" borderId="6" xfId="5" applyNumberFormat="1" applyFont="1" applyFill="1" applyBorder="1" applyAlignment="1" applyProtection="1">
      <alignment horizontal="right" vertical="center"/>
      <protection locked="0"/>
    </xf>
    <xf numFmtId="1" fontId="6" fillId="25" borderId="3" xfId="5" applyNumberFormat="1" applyFont="1" applyFill="1" applyBorder="1" applyAlignment="1" applyProtection="1">
      <alignment horizontal="right" vertical="center"/>
      <protection locked="0"/>
    </xf>
    <xf numFmtId="1" fontId="6" fillId="25" borderId="2" xfId="5" applyNumberFormat="1" applyFont="1" applyFill="1" applyBorder="1" applyAlignment="1" applyProtection="1">
      <alignment horizontal="right" vertical="center"/>
      <protection locked="0"/>
    </xf>
    <xf numFmtId="0" fontId="6" fillId="25" borderId="39" xfId="5" applyFont="1" applyFill="1" applyBorder="1" applyAlignment="1">
      <alignment horizontal="left" vertical="center" wrapText="1"/>
    </xf>
    <xf numFmtId="43" fontId="6" fillId="25" borderId="3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left" vertical="center" wrapText="1"/>
    </xf>
    <xf numFmtId="0" fontId="17" fillId="0" borderId="39" xfId="5" applyFont="1" applyBorder="1" applyAlignment="1">
      <alignment horizontal="center"/>
    </xf>
    <xf numFmtId="43" fontId="17" fillId="25" borderId="39" xfId="1" applyFont="1" applyFill="1" applyBorder="1" applyAlignment="1" applyProtection="1">
      <alignment horizontal="center" vertical="center"/>
    </xf>
    <xf numFmtId="0" fontId="71" fillId="0" borderId="0" xfId="4" applyFont="1" applyAlignment="1">
      <alignment vertical="center"/>
    </xf>
    <xf numFmtId="1" fontId="6" fillId="0" borderId="103" xfId="5" applyNumberFormat="1" applyFont="1" applyBorder="1" applyAlignment="1" applyProtection="1">
      <alignment horizontal="right" vertical="center"/>
      <protection locked="0"/>
    </xf>
    <xf numFmtId="1" fontId="6" fillId="25" borderId="36" xfId="5" applyNumberFormat="1" applyFont="1" applyFill="1" applyBorder="1" applyAlignment="1" applyProtection="1">
      <alignment horizontal="right" vertical="center"/>
      <protection locked="0"/>
    </xf>
    <xf numFmtId="1" fontId="6" fillId="25" borderId="37" xfId="5" applyNumberFormat="1" applyFont="1" applyFill="1" applyBorder="1" applyAlignment="1" applyProtection="1">
      <alignment horizontal="right" vertical="center"/>
      <protection locked="0"/>
    </xf>
    <xf numFmtId="1" fontId="6" fillId="25" borderId="103" xfId="5" applyNumberFormat="1" applyFont="1" applyFill="1" applyBorder="1" applyAlignment="1" applyProtection="1">
      <alignment horizontal="right" vertical="center"/>
      <protection locked="0"/>
    </xf>
    <xf numFmtId="0" fontId="6" fillId="25" borderId="38" xfId="5" applyFont="1" applyFill="1" applyBorder="1" applyAlignment="1">
      <alignment horizontal="left" vertical="center" wrapText="1"/>
    </xf>
    <xf numFmtId="1" fontId="8" fillId="0" borderId="11" xfId="5" applyNumberFormat="1" applyFont="1" applyBorder="1" applyAlignment="1" applyProtection="1">
      <alignment horizontal="right" vertical="center"/>
      <protection locked="0"/>
    </xf>
    <xf numFmtId="1" fontId="8" fillId="0" borderId="9" xfId="5" applyNumberFormat="1" applyFont="1" applyBorder="1" applyAlignment="1" applyProtection="1">
      <alignment horizontal="right" vertical="center"/>
      <protection locked="0"/>
    </xf>
    <xf numFmtId="1" fontId="8" fillId="24" borderId="36" xfId="5" applyNumberFormat="1" applyFont="1" applyFill="1" applyBorder="1" applyAlignment="1" applyProtection="1">
      <alignment horizontal="right" vertical="center"/>
      <protection locked="0"/>
    </xf>
    <xf numFmtId="1" fontId="8" fillId="24" borderId="3" xfId="5" applyNumberFormat="1" applyFont="1" applyFill="1" applyBorder="1" applyAlignment="1" applyProtection="1">
      <alignment horizontal="right" vertical="center"/>
      <protection locked="0"/>
    </xf>
    <xf numFmtId="1" fontId="6" fillId="24" borderId="3" xfId="5" applyNumberFormat="1" applyFont="1" applyFill="1" applyBorder="1" applyAlignment="1" applyProtection="1">
      <alignment horizontal="right" vertical="center"/>
      <protection locked="0"/>
    </xf>
    <xf numFmtId="1" fontId="6" fillId="24" borderId="11" xfId="5" applyNumberFormat="1" applyFont="1" applyFill="1" applyBorder="1" applyAlignment="1" applyProtection="1">
      <alignment horizontal="right" vertical="center"/>
      <protection locked="0"/>
    </xf>
    <xf numFmtId="1" fontId="6" fillId="24" borderId="9" xfId="5" applyNumberFormat="1" applyFont="1" applyFill="1" applyBorder="1" applyAlignment="1" applyProtection="1">
      <alignment horizontal="right" vertical="center"/>
      <protection locked="0"/>
    </xf>
    <xf numFmtId="0" fontId="6" fillId="24" borderId="39" xfId="5" applyFont="1" applyFill="1" applyBorder="1" applyAlignment="1">
      <alignment horizontal="left" vertical="center" wrapText="1"/>
    </xf>
    <xf numFmtId="0" fontId="8" fillId="0" borderId="109" xfId="77" applyFont="1" applyBorder="1" applyAlignment="1">
      <alignment vertical="center" wrapText="1"/>
    </xf>
    <xf numFmtId="0" fontId="8" fillId="0" borderId="38" xfId="5" applyFont="1" applyBorder="1" applyAlignment="1">
      <alignment horizontal="left" vertical="center" wrapText="1"/>
    </xf>
    <xf numFmtId="1" fontId="8" fillId="0" borderId="6" xfId="5" applyNumberFormat="1" applyFont="1" applyBorder="1" applyAlignment="1" applyProtection="1">
      <alignment horizontal="right" vertical="center"/>
      <protection locked="0"/>
    </xf>
    <xf numFmtId="1" fontId="6" fillId="0" borderId="36" xfId="5" applyNumberFormat="1" applyFont="1" applyBorder="1" applyAlignment="1" applyProtection="1">
      <alignment horizontal="right" vertical="center"/>
      <protection locked="0"/>
    </xf>
    <xf numFmtId="0" fontId="6" fillId="0" borderId="38" xfId="5" applyFont="1" applyBorder="1" applyAlignment="1">
      <alignment horizontal="left" vertical="center" wrapText="1"/>
    </xf>
    <xf numFmtId="1" fontId="8" fillId="0" borderId="17" xfId="5" applyNumberFormat="1" applyFont="1" applyBorder="1" applyAlignment="1" applyProtection="1">
      <alignment horizontal="right" vertical="center"/>
      <protection locked="0"/>
    </xf>
    <xf numFmtId="1" fontId="6" fillId="0" borderId="17" xfId="5" applyNumberFormat="1" applyFont="1" applyBorder="1" applyAlignment="1" applyProtection="1">
      <alignment horizontal="right" vertical="center"/>
      <protection locked="0"/>
    </xf>
    <xf numFmtId="1" fontId="8" fillId="0" borderId="41" xfId="5" applyNumberFormat="1" applyFont="1" applyBorder="1" applyAlignment="1" applyProtection="1">
      <alignment horizontal="right" vertical="center"/>
      <protection locked="0"/>
    </xf>
    <xf numFmtId="1" fontId="6" fillId="0" borderId="12" xfId="5" applyNumberFormat="1" applyFont="1" applyBorder="1" applyAlignment="1" applyProtection="1">
      <alignment horizontal="right" vertical="center"/>
      <protection locked="0"/>
    </xf>
    <xf numFmtId="1" fontId="6" fillId="41" borderId="41" xfId="5" applyNumberFormat="1" applyFont="1" applyFill="1" applyBorder="1" applyAlignment="1" applyProtection="1">
      <alignment horizontal="right" vertical="center"/>
      <protection locked="0"/>
    </xf>
    <xf numFmtId="1" fontId="6" fillId="41" borderId="11" xfId="5" applyNumberFormat="1" applyFont="1" applyFill="1" applyBorder="1" applyAlignment="1" applyProtection="1">
      <alignment horizontal="right" vertical="center"/>
      <protection locked="0"/>
    </xf>
    <xf numFmtId="1" fontId="6" fillId="41" borderId="9" xfId="5" applyNumberFormat="1" applyFont="1" applyFill="1" applyBorder="1" applyAlignment="1" applyProtection="1">
      <alignment horizontal="right" vertical="center"/>
      <protection locked="0"/>
    </xf>
    <xf numFmtId="0" fontId="6" fillId="41" borderId="109" xfId="77" applyFont="1" applyFill="1" applyBorder="1" applyAlignment="1">
      <alignment vertical="center" wrapText="1"/>
    </xf>
    <xf numFmtId="0" fontId="6" fillId="41" borderId="109" xfId="77" applyFont="1" applyFill="1" applyBorder="1" applyAlignment="1">
      <alignment horizontal="center" wrapText="1"/>
    </xf>
    <xf numFmtId="43" fontId="6" fillId="41" borderId="10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center"/>
    </xf>
    <xf numFmtId="181" fontId="8" fillId="0" borderId="39" xfId="133" applyNumberFormat="1" applyFont="1" applyFill="1" applyBorder="1" applyAlignment="1" applyProtection="1">
      <alignment horizontal="center" wrapText="1"/>
    </xf>
    <xf numFmtId="1" fontId="8" fillId="0" borderId="42" xfId="5" applyNumberFormat="1" applyFont="1" applyBorder="1" applyAlignment="1" applyProtection="1">
      <alignment horizontal="right" vertical="center"/>
      <protection locked="0"/>
    </xf>
    <xf numFmtId="1" fontId="8" fillId="0" borderId="43" xfId="5" applyNumberFormat="1" applyFont="1" applyBorder="1" applyAlignment="1" applyProtection="1">
      <alignment horizontal="right" vertical="center"/>
      <protection locked="0"/>
    </xf>
    <xf numFmtId="1" fontId="6" fillId="0" borderId="43" xfId="5" applyNumberFormat="1" applyFont="1" applyBorder="1" applyAlignment="1" applyProtection="1">
      <alignment horizontal="right" vertical="center"/>
      <protection locked="0"/>
    </xf>
    <xf numFmtId="1" fontId="6" fillId="0" borderId="19" xfId="5" applyNumberFormat="1" applyFont="1" applyBorder="1" applyAlignment="1" applyProtection="1">
      <alignment horizontal="right" vertical="center"/>
      <protection locked="0"/>
    </xf>
    <xf numFmtId="0" fontId="6" fillId="0" borderId="44" xfId="5" applyFont="1" applyBorder="1" applyAlignment="1">
      <alignment horizontal="left" vertical="center" wrapText="1"/>
    </xf>
    <xf numFmtId="181" fontId="8" fillId="0" borderId="44" xfId="133" applyNumberFormat="1" applyFont="1" applyFill="1" applyBorder="1" applyAlignment="1" applyProtection="1">
      <alignment horizontal="center" wrapText="1"/>
    </xf>
    <xf numFmtId="4" fontId="8" fillId="0" borderId="0" xfId="4" applyNumberFormat="1" applyFont="1" applyAlignment="1">
      <alignment vertical="center"/>
    </xf>
    <xf numFmtId="43" fontId="8" fillId="0" borderId="0" xfId="1" applyFont="1" applyFill="1" applyBorder="1" applyAlignment="1" applyProtection="1">
      <alignment horizontal="center" vertical="center"/>
    </xf>
    <xf numFmtId="0" fontId="87" fillId="0" borderId="0" xfId="79" applyFont="1"/>
    <xf numFmtId="0" fontId="87" fillId="0" borderId="0" xfId="79" applyFont="1" applyAlignment="1">
      <alignment horizontal="center"/>
    </xf>
    <xf numFmtId="43" fontId="87" fillId="0" borderId="0" xfId="1" applyFont="1" applyAlignment="1"/>
    <xf numFmtId="43" fontId="62" fillId="14" borderId="110" xfId="1" applyFont="1" applyFill="1" applyBorder="1" applyAlignment="1">
      <alignment horizontal="center" vertical="center"/>
    </xf>
    <xf numFmtId="0" fontId="63" fillId="0" borderId="0" xfId="80" applyFont="1"/>
    <xf numFmtId="0" fontId="7" fillId="0" borderId="0" xfId="80"/>
    <xf numFmtId="0" fontId="89" fillId="5" borderId="111" xfId="134" applyFont="1" applyFill="1" applyBorder="1" applyAlignment="1">
      <alignment horizontal="right" vertical="center"/>
    </xf>
    <xf numFmtId="43" fontId="91" fillId="0" borderId="111" xfId="1" applyFont="1" applyFill="1" applyBorder="1" applyAlignment="1">
      <alignment horizontal="right" vertical="center"/>
    </xf>
    <xf numFmtId="0" fontId="91" fillId="42" borderId="111" xfId="134" applyFont="1" applyFill="1" applyBorder="1" applyAlignment="1">
      <alignment vertical="center"/>
    </xf>
    <xf numFmtId="0" fontId="91" fillId="42" borderId="111" xfId="134" applyFont="1" applyFill="1" applyBorder="1" applyAlignment="1">
      <alignment horizontal="center" vertical="center"/>
    </xf>
    <xf numFmtId="43" fontId="93" fillId="42" borderId="111" xfId="1" applyFont="1" applyFill="1" applyBorder="1" applyAlignment="1">
      <alignment horizontal="right" vertical="center"/>
    </xf>
    <xf numFmtId="0" fontId="91" fillId="0" borderId="111" xfId="134" applyFont="1" applyBorder="1" applyAlignment="1">
      <alignment vertical="center"/>
    </xf>
    <xf numFmtId="0" fontId="69" fillId="7" borderId="111" xfId="134" applyFont="1" applyFill="1" applyBorder="1" applyAlignment="1">
      <alignment horizontal="left" vertical="center"/>
    </xf>
    <xf numFmtId="0" fontId="89" fillId="0" borderId="111" xfId="134" applyFont="1" applyBorder="1" applyAlignment="1">
      <alignment vertical="center"/>
    </xf>
    <xf numFmtId="0" fontId="89" fillId="0" borderId="111" xfId="134" applyFont="1" applyBorder="1" applyAlignment="1">
      <alignment horizontal="left" vertical="center"/>
    </xf>
    <xf numFmtId="37" fontId="91" fillId="42" borderId="111" xfId="135" applyNumberFormat="1" applyFont="1" applyFill="1" applyBorder="1" applyAlignment="1">
      <alignment horizontal="center" vertical="center"/>
    </xf>
    <xf numFmtId="3" fontId="63" fillId="0" borderId="0" xfId="80" applyNumberFormat="1" applyFont="1"/>
    <xf numFmtId="3" fontId="7" fillId="0" borderId="0" xfId="80" applyNumberFormat="1"/>
    <xf numFmtId="0" fontId="95" fillId="0" borderId="111" xfId="134" applyFont="1" applyBorder="1" applyAlignment="1">
      <alignment vertical="center"/>
    </xf>
    <xf numFmtId="164" fontId="7" fillId="0" borderId="0" xfId="80" applyNumberFormat="1"/>
    <xf numFmtId="0" fontId="96" fillId="14" borderId="111" xfId="134" applyFont="1" applyFill="1" applyBorder="1" applyAlignment="1">
      <alignment vertical="center"/>
    </xf>
    <xf numFmtId="0" fontId="97" fillId="0" borderId="111" xfId="134" applyFont="1" applyBorder="1" applyAlignment="1">
      <alignment vertical="center"/>
    </xf>
    <xf numFmtId="0" fontId="95" fillId="0" borderId="111" xfId="134" applyFont="1" applyBorder="1" applyAlignment="1">
      <alignment horizontal="left" vertical="center" wrapText="1"/>
    </xf>
    <xf numFmtId="0" fontId="95" fillId="0" borderId="111" xfId="134" applyFont="1" applyBorder="1" applyAlignment="1">
      <alignment horizontal="left" vertical="center"/>
    </xf>
    <xf numFmtId="0" fontId="7" fillId="0" borderId="0" xfId="80" applyAlignment="1">
      <alignment horizontal="right"/>
    </xf>
    <xf numFmtId="0" fontId="63" fillId="0" borderId="0" xfId="80" quotePrefix="1" applyFont="1"/>
    <xf numFmtId="0" fontId="91" fillId="0" borderId="111" xfId="134" applyFont="1" applyBorder="1" applyAlignment="1">
      <alignment horizontal="left" vertical="center"/>
    </xf>
    <xf numFmtId="0" fontId="91" fillId="0" borderId="111" xfId="134" applyFont="1" applyBorder="1" applyAlignment="1">
      <alignment vertical="center" wrapText="1"/>
    </xf>
    <xf numFmtId="0" fontId="93" fillId="0" borderId="111" xfId="134" applyFont="1" applyBorder="1" applyAlignment="1">
      <alignment horizontal="center" vertical="center"/>
    </xf>
    <xf numFmtId="0" fontId="89" fillId="0" borderId="111" xfId="134" applyFont="1" applyBorder="1" applyAlignment="1">
      <alignment horizontal="center" vertical="center"/>
    </xf>
    <xf numFmtId="0" fontId="91" fillId="0" borderId="112" xfId="134" applyFont="1" applyBorder="1" applyAlignment="1">
      <alignment horizontal="left" vertical="center"/>
    </xf>
    <xf numFmtId="0" fontId="91" fillId="0" borderId="112" xfId="134" applyFont="1" applyBorder="1" applyAlignment="1">
      <alignment horizontal="center" vertical="center"/>
    </xf>
    <xf numFmtId="179" fontId="91" fillId="0" borderId="112" xfId="1" applyNumberFormat="1" applyFont="1" applyFill="1" applyBorder="1" applyAlignment="1">
      <alignment horizontal="right" vertical="center"/>
    </xf>
    <xf numFmtId="43" fontId="7" fillId="0" borderId="0" xfId="1" applyFont="1"/>
    <xf numFmtId="175" fontId="10" fillId="0" borderId="0" xfId="80" applyNumberFormat="1" applyFont="1" applyAlignment="1">
      <alignment vertical="center"/>
    </xf>
    <xf numFmtId="43" fontId="10" fillId="0" borderId="0" xfId="80" applyNumberFormat="1" applyFont="1" applyAlignment="1">
      <alignment vertical="center"/>
    </xf>
    <xf numFmtId="164" fontId="47" fillId="0" borderId="0" xfId="4" applyNumberFormat="1" applyFont="1" applyAlignment="1">
      <alignment vertical="center" wrapText="1"/>
    </xf>
    <xf numFmtId="10" fontId="11" fillId="4" borderId="32" xfId="3" applyNumberFormat="1" applyFont="1" applyFill="1" applyBorder="1" applyAlignment="1" applyProtection="1">
      <alignment horizontal="right" vertical="center"/>
    </xf>
    <xf numFmtId="3" fontId="11" fillId="0" borderId="0" xfId="80" applyNumberFormat="1" applyFont="1" applyAlignment="1">
      <alignment vertical="center"/>
    </xf>
    <xf numFmtId="176" fontId="62" fillId="14" borderId="110" xfId="1" applyNumberFormat="1" applyFont="1" applyFill="1" applyBorder="1" applyAlignment="1">
      <alignment horizontal="center" vertical="center"/>
    </xf>
    <xf numFmtId="176" fontId="90" fillId="0" borderId="111" xfId="1" applyNumberFormat="1" applyFont="1" applyFill="1" applyBorder="1" applyAlignment="1">
      <alignment horizontal="right" vertical="center"/>
    </xf>
    <xf numFmtId="176" fontId="92" fillId="42" borderId="111" xfId="1" applyNumberFormat="1" applyFont="1" applyFill="1" applyBorder="1" applyAlignment="1">
      <alignment horizontal="right" vertical="center"/>
    </xf>
    <xf numFmtId="176" fontId="91" fillId="0" borderId="111" xfId="1" applyNumberFormat="1" applyFont="1" applyFill="1" applyBorder="1" applyAlignment="1">
      <alignment horizontal="right" vertical="center"/>
    </xf>
    <xf numFmtId="176" fontId="64" fillId="0" borderId="111" xfId="1" applyNumberFormat="1" applyFont="1" applyBorder="1" applyAlignment="1">
      <alignment vertical="center"/>
    </xf>
    <xf numFmtId="176" fontId="89" fillId="0" borderId="111" xfId="1" applyNumberFormat="1" applyFont="1" applyFill="1" applyBorder="1" applyAlignment="1">
      <alignment horizontal="right" vertical="center"/>
    </xf>
    <xf numFmtId="176" fontId="91" fillId="42" borderId="111" xfId="1" applyNumberFormat="1" applyFont="1" applyFill="1" applyBorder="1" applyAlignment="1">
      <alignment horizontal="right" vertical="center"/>
    </xf>
    <xf numFmtId="176" fontId="89" fillId="43" borderId="111" xfId="1" applyNumberFormat="1" applyFont="1" applyFill="1" applyBorder="1" applyAlignment="1">
      <alignment horizontal="right" vertical="center"/>
    </xf>
    <xf numFmtId="176" fontId="89" fillId="0" borderId="111" xfId="1" applyNumberFormat="1" applyFont="1" applyBorder="1" applyAlignment="1">
      <alignment horizontal="right" vertical="center"/>
    </xf>
    <xf numFmtId="176" fontId="91" fillId="14" borderId="111" xfId="1" applyNumberFormat="1" applyFont="1" applyFill="1" applyBorder="1" applyAlignment="1">
      <alignment horizontal="right" vertical="center"/>
    </xf>
    <xf numFmtId="176" fontId="98" fillId="0" borderId="111" xfId="1" applyNumberFormat="1" applyFont="1" applyBorder="1" applyAlignment="1">
      <alignment vertical="center"/>
    </xf>
    <xf numFmtId="176" fontId="91" fillId="0" borderId="111" xfId="1" applyNumberFormat="1" applyFont="1" applyBorder="1" applyAlignment="1">
      <alignment horizontal="right" vertical="center"/>
    </xf>
    <xf numFmtId="176" fontId="91" fillId="43" borderId="111" xfId="1" applyNumberFormat="1" applyFont="1" applyFill="1" applyBorder="1" applyAlignment="1">
      <alignment horizontal="right" vertical="center"/>
    </xf>
    <xf numFmtId="176" fontId="99" fillId="0" borderId="111" xfId="1" applyNumberFormat="1" applyFont="1" applyBorder="1" applyAlignment="1">
      <alignment horizontal="right" vertical="center"/>
    </xf>
    <xf numFmtId="176" fontId="93" fillId="42" borderId="111" xfId="1" applyNumberFormat="1" applyFont="1" applyFill="1" applyBorder="1" applyAlignment="1">
      <alignment horizontal="right" vertical="center"/>
    </xf>
    <xf numFmtId="176" fontId="93" fillId="0" borderId="111" xfId="1" applyNumberFormat="1" applyFont="1" applyFill="1" applyBorder="1" applyAlignment="1">
      <alignment horizontal="right" vertical="center"/>
    </xf>
    <xf numFmtId="176" fontId="91" fillId="0" borderId="112" xfId="1" applyNumberFormat="1" applyFont="1" applyFill="1" applyBorder="1" applyAlignment="1">
      <alignment horizontal="right" vertical="center"/>
    </xf>
    <xf numFmtId="176" fontId="64" fillId="0" borderId="0" xfId="1" applyNumberFormat="1" applyFont="1"/>
    <xf numFmtId="176" fontId="7" fillId="0" borderId="111" xfId="1" applyNumberFormat="1" applyFont="1" applyBorder="1" applyAlignment="1">
      <alignment vertical="center"/>
    </xf>
    <xf numFmtId="176" fontId="97" fillId="0" borderId="111" xfId="1" applyNumberFormat="1" applyFont="1" applyBorder="1" applyAlignment="1">
      <alignment vertical="center"/>
    </xf>
    <xf numFmtId="43" fontId="100" fillId="0" borderId="3" xfId="1" applyFont="1" applyFill="1" applyBorder="1" applyAlignment="1" applyProtection="1">
      <alignment horizontal="right" vertical="center"/>
    </xf>
    <xf numFmtId="176" fontId="11" fillId="0" borderId="15" xfId="1" applyNumberFormat="1" applyFont="1" applyFill="1" applyBorder="1" applyAlignment="1" applyProtection="1">
      <alignment horizontal="right" vertical="center"/>
    </xf>
    <xf numFmtId="176" fontId="10" fillId="0" borderId="15" xfId="1" applyNumberFormat="1" applyFont="1" applyFill="1" applyBorder="1" applyAlignment="1" applyProtection="1">
      <alignment horizontal="right" vertical="center"/>
    </xf>
    <xf numFmtId="176" fontId="10" fillId="0" borderId="15" xfId="1" applyNumberFormat="1" applyFont="1" applyBorder="1" applyAlignment="1" applyProtection="1">
      <alignment vertical="center"/>
    </xf>
    <xf numFmtId="176" fontId="10" fillId="0" borderId="46" xfId="1" applyNumberFormat="1" applyFont="1" applyBorder="1" applyAlignment="1" applyProtection="1">
      <alignment vertical="center"/>
    </xf>
    <xf numFmtId="176" fontId="11" fillId="0" borderId="14" xfId="1" applyNumberFormat="1" applyFont="1" applyFill="1" applyBorder="1" applyAlignment="1">
      <alignment vertical="center"/>
    </xf>
    <xf numFmtId="176" fontId="15" fillId="0" borderId="14" xfId="1" applyNumberFormat="1" applyFont="1" applyFill="1" applyBorder="1" applyAlignment="1" applyProtection="1">
      <alignment horizontal="right" vertical="center"/>
    </xf>
    <xf numFmtId="176" fontId="13" fillId="0" borderId="14" xfId="1" applyNumberFormat="1" applyFont="1" applyBorder="1" applyAlignment="1" applyProtection="1">
      <alignment horizontal="right" vertical="center"/>
    </xf>
    <xf numFmtId="176" fontId="13" fillId="0" borderId="14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176" fontId="15" fillId="0" borderId="14" xfId="1" applyNumberFormat="1" applyFont="1" applyBorder="1" applyAlignment="1" applyProtection="1">
      <alignment horizontal="right" vertical="center"/>
    </xf>
    <xf numFmtId="176" fontId="11" fillId="0" borderId="14" xfId="1" applyNumberFormat="1" applyFont="1" applyFill="1" applyBorder="1" applyAlignment="1" applyProtection="1">
      <alignment horizontal="right" vertical="center"/>
    </xf>
    <xf numFmtId="176" fontId="11" fillId="2" borderId="17" xfId="1" applyNumberFormat="1" applyFont="1" applyFill="1" applyBorder="1" applyAlignment="1" applyProtection="1">
      <alignment horizontal="right" vertical="center"/>
    </xf>
    <xf numFmtId="176" fontId="11" fillId="4" borderId="17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Border="1" applyAlignment="1" applyProtection="1">
      <alignment horizontal="right" vertical="center"/>
    </xf>
    <xf numFmtId="176" fontId="11" fillId="0" borderId="14" xfId="1" applyNumberFormat="1" applyFont="1" applyBorder="1" applyAlignment="1" applyProtection="1">
      <alignment horizontal="right" vertical="center"/>
    </xf>
    <xf numFmtId="176" fontId="11" fillId="0" borderId="19" xfId="1" applyNumberFormat="1" applyFont="1" applyBorder="1" applyAlignment="1" applyProtection="1">
      <alignment horizontal="right" vertical="center"/>
    </xf>
    <xf numFmtId="176" fontId="11" fillId="0" borderId="19" xfId="1" applyNumberFormat="1" applyFont="1" applyFill="1" applyBorder="1" applyAlignment="1" applyProtection="1">
      <alignment horizontal="right" vertical="center"/>
    </xf>
    <xf numFmtId="176" fontId="11" fillId="2" borderId="22" xfId="1" applyNumberFormat="1" applyFont="1" applyFill="1" applyBorder="1" applyAlignment="1" applyProtection="1">
      <alignment horizontal="right" vertical="center"/>
    </xf>
    <xf numFmtId="176" fontId="11" fillId="4" borderId="22" xfId="1" applyNumberFormat="1" applyFont="1" applyFill="1" applyBorder="1" applyAlignment="1" applyProtection="1">
      <alignment horizontal="right" vertical="center"/>
    </xf>
    <xf numFmtId="176" fontId="11" fillId="0" borderId="15" xfId="1" applyNumberFormat="1" applyFont="1" applyBorder="1" applyAlignment="1" applyProtection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1" fillId="2" borderId="3" xfId="1" applyNumberFormat="1" applyFont="1" applyFill="1" applyBorder="1" applyAlignment="1" applyProtection="1">
      <alignment horizontal="right" vertical="center"/>
    </xf>
    <xf numFmtId="176" fontId="11" fillId="4" borderId="3" xfId="1" applyNumberFormat="1" applyFont="1" applyFill="1" applyBorder="1" applyAlignment="1" applyProtection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19" xfId="1" applyNumberFormat="1" applyFont="1" applyFill="1" applyBorder="1" applyAlignment="1">
      <alignment horizontal="right" vertical="center"/>
    </xf>
    <xf numFmtId="176" fontId="11" fillId="2" borderId="21" xfId="1" applyNumberFormat="1" applyFont="1" applyFill="1" applyBorder="1" applyAlignment="1" applyProtection="1">
      <alignment horizontal="right" vertical="center"/>
    </xf>
    <xf numFmtId="176" fontId="11" fillId="4" borderId="21" xfId="1" applyNumberFormat="1" applyFont="1" applyFill="1" applyBorder="1" applyAlignment="1" applyProtection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11" fillId="0" borderId="29" xfId="1" applyNumberFormat="1" applyFont="1" applyFill="1" applyBorder="1" applyAlignment="1">
      <alignment horizontal="right" vertical="center"/>
    </xf>
    <xf numFmtId="176" fontId="10" fillId="0" borderId="15" xfId="1" applyNumberFormat="1" applyFont="1" applyBorder="1" applyAlignment="1" applyProtection="1">
      <alignment horizontal="right" vertical="center"/>
    </xf>
    <xf numFmtId="176" fontId="10" fillId="0" borderId="37" xfId="1" applyNumberFormat="1" applyFont="1" applyBorder="1" applyAlignment="1" applyProtection="1">
      <alignment horizontal="right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166" fontId="73" fillId="0" borderId="4" xfId="2" quotePrefix="1" applyNumberFormat="1" applyFont="1" applyFill="1" applyBorder="1" applyAlignment="1" applyProtection="1">
      <alignment horizontal="center" vertical="center" wrapText="1"/>
    </xf>
    <xf numFmtId="166" fontId="73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25" xfId="1" quotePrefix="1" applyNumberFormat="1" applyFont="1" applyFill="1" applyBorder="1" applyAlignment="1" applyProtection="1">
      <alignment horizontal="center" vertical="center" wrapText="1"/>
    </xf>
    <xf numFmtId="175" fontId="10" fillId="0" borderId="99" xfId="1" quotePrefix="1" applyNumberFormat="1" applyFont="1" applyFill="1" applyBorder="1" applyAlignment="1" applyProtection="1">
      <alignment horizontal="center" vertical="center" wrapText="1"/>
    </xf>
    <xf numFmtId="175" fontId="10" fillId="0" borderId="100" xfId="1" quotePrefix="1" applyNumberFormat="1" applyFont="1" applyFill="1" applyBorder="1" applyAlignment="1" applyProtection="1">
      <alignment horizontal="center" vertical="center" wrapText="1"/>
    </xf>
    <xf numFmtId="175" fontId="10" fillId="0" borderId="37" xfId="1" quotePrefix="1" applyNumberFormat="1" applyFont="1" applyFill="1" applyBorder="1" applyAlignment="1" applyProtection="1">
      <alignment horizontal="center" vertical="center" wrapText="1"/>
    </xf>
    <xf numFmtId="0" fontId="42" fillId="25" borderId="23" xfId="4" applyFont="1" applyFill="1" applyBorder="1" applyAlignment="1">
      <alignment horizontal="center" vertical="center"/>
    </xf>
    <xf numFmtId="0" fontId="42" fillId="25" borderId="24" xfId="4" applyFont="1" applyFill="1" applyBorder="1" applyAlignment="1">
      <alignment horizontal="center" vertical="center"/>
    </xf>
    <xf numFmtId="0" fontId="42" fillId="25" borderId="57" xfId="4" applyFont="1" applyFill="1" applyBorder="1" applyAlignment="1">
      <alignment horizontal="center" vertical="center"/>
    </xf>
    <xf numFmtId="164" fontId="44" fillId="23" borderId="27" xfId="116" applyFont="1" applyFill="1" applyBorder="1" applyAlignment="1">
      <alignment horizontal="center" vertical="center"/>
    </xf>
    <xf numFmtId="43" fontId="6" fillId="35" borderId="33" xfId="1" applyFont="1" applyFill="1" applyBorder="1" applyAlignment="1" applyProtection="1">
      <alignment horizontal="center" vertical="center" wrapText="1"/>
    </xf>
    <xf numFmtId="43" fontId="6" fillId="35" borderId="35" xfId="1" applyFont="1" applyFill="1" applyBorder="1" applyAlignment="1" applyProtection="1">
      <alignment horizontal="center" vertical="center" wrapText="1"/>
    </xf>
    <xf numFmtId="0" fontId="6" fillId="4" borderId="33" xfId="5" applyFont="1" applyFill="1" applyBorder="1" applyAlignment="1">
      <alignment horizontal="center" vertical="center" wrapText="1"/>
    </xf>
    <xf numFmtId="0" fontId="6" fillId="4" borderId="35" xfId="5" applyFont="1" applyFill="1" applyBorder="1" applyAlignment="1">
      <alignment horizontal="center" vertical="center" wrapText="1"/>
    </xf>
    <xf numFmtId="0" fontId="6" fillId="35" borderId="34" xfId="5" applyFont="1" applyFill="1" applyBorder="1" applyAlignment="1">
      <alignment horizontal="center" vertical="center" wrapText="1"/>
    </xf>
    <xf numFmtId="0" fontId="6" fillId="35" borderId="33" xfId="5" applyFont="1" applyFill="1" applyBorder="1" applyAlignment="1">
      <alignment horizontal="center" vertical="center" wrapText="1"/>
    </xf>
    <xf numFmtId="0" fontId="6" fillId="35" borderId="35" xfId="5" applyFont="1" applyFill="1" applyBorder="1" applyAlignment="1">
      <alignment horizontal="center" vertical="center" wrapText="1"/>
    </xf>
    <xf numFmtId="43" fontId="6" fillId="4" borderId="33" xfId="1" applyFont="1" applyFill="1" applyBorder="1" applyAlignment="1" applyProtection="1">
      <alignment horizontal="center" vertical="center" wrapText="1"/>
    </xf>
    <xf numFmtId="43" fontId="6" fillId="4" borderId="35" xfId="1" applyFont="1" applyFill="1" applyBorder="1" applyAlignment="1" applyProtection="1">
      <alignment horizontal="center" vertical="center" wrapText="1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0" fontId="5" fillId="0" borderId="30" xfId="80" applyFont="1" applyBorder="1" applyAlignment="1">
      <alignment horizontal="center" vertical="center" wrapText="1"/>
    </xf>
    <xf numFmtId="0" fontId="5" fillId="0" borderId="31" xfId="80" applyFont="1" applyBorder="1" applyAlignment="1">
      <alignment horizontal="center" vertical="center" wrapText="1"/>
    </xf>
    <xf numFmtId="3" fontId="11" fillId="0" borderId="21" xfId="80" applyNumberFormat="1" applyFont="1" applyBorder="1" applyAlignment="1">
      <alignment horizontal="center" vertical="center"/>
    </xf>
    <xf numFmtId="3" fontId="11" fillId="0" borderId="66" xfId="80" applyNumberFormat="1" applyFont="1" applyBorder="1" applyAlignment="1">
      <alignment horizontal="center" vertical="center"/>
    </xf>
    <xf numFmtId="174" fontId="74" fillId="0" borderId="23" xfId="118" applyFont="1" applyBorder="1" applyAlignment="1">
      <alignment horizontal="center" vertical="center" wrapText="1"/>
    </xf>
    <xf numFmtId="174" fontId="74" fillId="0" borderId="24" xfId="118" applyFont="1" applyBorder="1" applyAlignment="1">
      <alignment horizontal="center" vertical="center" wrapText="1"/>
    </xf>
    <xf numFmtId="174" fontId="74" fillId="0" borderId="102" xfId="118" applyFont="1" applyBorder="1" applyAlignment="1">
      <alignment horizontal="center" vertical="center" wrapText="1"/>
    </xf>
    <xf numFmtId="174" fontId="74" fillId="0" borderId="103" xfId="118" applyFont="1" applyBorder="1" applyAlignment="1">
      <alignment horizontal="center" vertical="center" wrapText="1"/>
    </xf>
    <xf numFmtId="174" fontId="74" fillId="0" borderId="0" xfId="118" applyFont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37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1" xfId="1" applyFont="1" applyFill="1" applyBorder="1" applyAlignment="1" applyProtection="1">
      <alignment vertical="center"/>
    </xf>
    <xf numFmtId="43" fontId="11" fillId="2" borderId="37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104" xfId="1" applyFont="1" applyFill="1" applyBorder="1" applyAlignment="1" applyProtection="1">
      <alignment horizontal="left"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43" fontId="74" fillId="0" borderId="23" xfId="1" applyFont="1" applyFill="1" applyBorder="1" applyAlignment="1">
      <alignment horizontal="center" vertical="center" wrapText="1"/>
    </xf>
    <xf numFmtId="43" fontId="74" fillId="0" borderId="24" xfId="1" applyFont="1" applyFill="1" applyBorder="1" applyAlignment="1">
      <alignment horizontal="center" vertical="center" wrapText="1"/>
    </xf>
    <xf numFmtId="43" fontId="74" fillId="0" borderId="102" xfId="1" applyFont="1" applyFill="1" applyBorder="1" applyAlignment="1">
      <alignment horizontal="center" vertical="center" wrapText="1"/>
    </xf>
    <xf numFmtId="43" fontId="74" fillId="0" borderId="103" xfId="1" applyFont="1" applyFill="1" applyBorder="1" applyAlignment="1">
      <alignment horizontal="center" vertical="center" wrapText="1"/>
    </xf>
    <xf numFmtId="43" fontId="74" fillId="0" borderId="0" xfId="1" applyFont="1" applyFill="1" applyBorder="1" applyAlignment="1">
      <alignment horizontal="center" vertical="center" wrapText="1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45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0" fontId="42" fillId="3" borderId="30" xfId="4" applyFont="1" applyFill="1" applyBorder="1" applyAlignment="1">
      <alignment horizontal="center" vertical="center"/>
    </xf>
    <xf numFmtId="0" fontId="42" fillId="3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1" fontId="11" fillId="35" borderId="30" xfId="131" applyNumberFormat="1" applyFont="1" applyFill="1" applyBorder="1" applyAlignment="1">
      <alignment horizontal="center" vertical="center"/>
    </xf>
    <xf numFmtId="1" fontId="11" fillId="35" borderId="31" xfId="131" applyNumberFormat="1" applyFont="1" applyFill="1" applyBorder="1" applyAlignment="1">
      <alignment horizontal="center" vertical="center"/>
    </xf>
    <xf numFmtId="1" fontId="11" fillId="35" borderId="32" xfId="131" applyNumberFormat="1" applyFont="1" applyFill="1" applyBorder="1" applyAlignment="1">
      <alignment horizontal="center" vertical="center"/>
    </xf>
    <xf numFmtId="178" fontId="6" fillId="35" borderId="33" xfId="4" applyNumberFormat="1" applyFont="1" applyFill="1" applyBorder="1" applyAlignment="1">
      <alignment horizontal="center" vertical="center" wrapText="1"/>
    </xf>
    <xf numFmtId="178" fontId="6" fillId="35" borderId="35" xfId="4" applyNumberFormat="1" applyFont="1" applyFill="1" applyBorder="1" applyAlignment="1">
      <alignment horizontal="center" vertical="center" wrapText="1"/>
    </xf>
    <xf numFmtId="0" fontId="6" fillId="35" borderId="33" xfId="5" applyFont="1" applyFill="1" applyBorder="1" applyAlignment="1">
      <alignment horizontal="center" wrapText="1"/>
    </xf>
    <xf numFmtId="0" fontId="6" fillId="35" borderId="35" xfId="5" applyFont="1" applyFill="1" applyBorder="1" applyAlignment="1">
      <alignment horizontal="center" wrapText="1"/>
    </xf>
    <xf numFmtId="43" fontId="6" fillId="0" borderId="33" xfId="1" applyFont="1" applyFill="1" applyBorder="1" applyAlignment="1" applyProtection="1">
      <alignment horizontal="center" vertical="center" wrapText="1"/>
    </xf>
    <xf numFmtId="43" fontId="6" fillId="0" borderId="35" xfId="1" applyFont="1" applyFill="1" applyBorder="1" applyAlignment="1" applyProtection="1">
      <alignment horizontal="center" vertical="center" wrapText="1"/>
    </xf>
    <xf numFmtId="0" fontId="88" fillId="14" borderId="110" xfId="134" applyFont="1" applyFill="1" applyBorder="1" applyAlignment="1">
      <alignment horizontal="left" vertical="center"/>
    </xf>
    <xf numFmtId="43" fontId="6" fillId="35" borderId="3" xfId="1" applyFont="1" applyFill="1" applyBorder="1" applyAlignment="1" applyProtection="1">
      <alignment horizontal="center" vertical="center" wrapText="1"/>
    </xf>
    <xf numFmtId="0" fontId="67" fillId="36" borderId="98" xfId="80" applyFont="1" applyFill="1" applyBorder="1" applyAlignment="1">
      <alignment horizontal="center" vertical="center"/>
    </xf>
    <xf numFmtId="0" fontId="67" fillId="36" borderId="81" xfId="80" applyFont="1" applyFill="1" applyBorder="1" applyAlignment="1">
      <alignment horizontal="center" vertical="center"/>
    </xf>
    <xf numFmtId="0" fontId="62" fillId="35" borderId="3" xfId="0" applyFont="1" applyFill="1" applyBorder="1" applyAlignment="1">
      <alignment horizontal="center"/>
    </xf>
    <xf numFmtId="49" fontId="67" fillId="36" borderId="95" xfId="80" applyNumberFormat="1" applyFont="1" applyFill="1" applyBorder="1" applyAlignment="1">
      <alignment horizontal="center" vertical="center" wrapText="1"/>
    </xf>
    <xf numFmtId="49" fontId="67" fillId="36" borderId="96" xfId="80" applyNumberFormat="1" applyFont="1" applyFill="1" applyBorder="1" applyAlignment="1">
      <alignment horizontal="center" vertical="center" wrapText="1"/>
    </xf>
    <xf numFmtId="49" fontId="67" fillId="36" borderId="97" xfId="80" applyNumberFormat="1" applyFont="1" applyFill="1" applyBorder="1" applyAlignment="1">
      <alignment horizontal="center" vertical="center" wrapText="1"/>
    </xf>
    <xf numFmtId="49" fontId="67" fillId="36" borderId="73" xfId="80" applyNumberFormat="1" applyFont="1" applyFill="1" applyBorder="1" applyAlignment="1">
      <alignment horizontal="center" vertical="center" wrapText="1"/>
    </xf>
    <xf numFmtId="49" fontId="67" fillId="36" borderId="76" xfId="80" applyNumberFormat="1" applyFont="1" applyFill="1" applyBorder="1" applyAlignment="1">
      <alignment horizontal="center" vertical="center" wrapText="1"/>
    </xf>
    <xf numFmtId="49" fontId="67" fillId="36" borderId="80" xfId="80" applyNumberFormat="1" applyFont="1" applyFill="1" applyBorder="1" applyAlignment="1">
      <alignment horizontal="center" vertical="center" wrapText="1"/>
    </xf>
    <xf numFmtId="0" fontId="66" fillId="0" borderId="0" xfId="80" applyFont="1" applyAlignment="1">
      <alignment horizontal="center" vertical="center" wrapText="1"/>
    </xf>
  </cellXfs>
  <cellStyles count="136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6 2 2" xfId="129" xr:uid="{00000000-0005-0000-0000-000047000000}"/>
    <cellStyle name="Migliaia 7" xfId="73" xr:uid="{00000000-0005-0000-0000-000048000000}"/>
    <cellStyle name="Migliaia 8" xfId="74" xr:uid="{00000000-0005-0000-0000-000049000000}"/>
    <cellStyle name="Migliaia 9" xfId="116" xr:uid="{00000000-0005-0000-0000-00004A000000}"/>
    <cellStyle name="Migliaia 9 2" xfId="75" xr:uid="{00000000-0005-0000-0000-00004B000000}"/>
    <cellStyle name="Migliaia 9 3" xfId="130" xr:uid="{00000000-0005-0000-0000-00004C000000}"/>
    <cellStyle name="Migliaia_Mattone CE_Budget 2008 (v. 0.5 del 12.02.2008) 2" xfId="133" xr:uid="{00000000-0005-0000-0000-00004D000000}"/>
    <cellStyle name="Neutrale 2" xfId="76" xr:uid="{00000000-0005-0000-0000-00004E000000}"/>
    <cellStyle name="Normal 12" xfId="117" xr:uid="{00000000-0005-0000-0000-00004F000000}"/>
    <cellStyle name="Normal 2" xfId="77" xr:uid="{00000000-0005-0000-0000-000050000000}"/>
    <cellStyle name="Normal_all7_pdc" xfId="78" xr:uid="{00000000-0005-0000-0000-000051000000}"/>
    <cellStyle name="Normal_Sheet1 2" xfId="5" xr:uid="{00000000-0005-0000-0000-000052000000}"/>
    <cellStyle name="Normale" xfId="0" builtinId="0"/>
    <cellStyle name="Normale 10" xfId="121" xr:uid="{00000000-0005-0000-0000-000054000000}"/>
    <cellStyle name="Normale 11" xfId="123" xr:uid="{00000000-0005-0000-0000-000055000000}"/>
    <cellStyle name="Normale 12" xfId="125" xr:uid="{00000000-0005-0000-0000-000056000000}"/>
    <cellStyle name="Normale 19 2" xfId="124" xr:uid="{00000000-0005-0000-0000-000057000000}"/>
    <cellStyle name="Normale 2" xfId="79" xr:uid="{00000000-0005-0000-0000-000058000000}"/>
    <cellStyle name="Normale 2 2" xfId="80" xr:uid="{00000000-0005-0000-0000-000059000000}"/>
    <cellStyle name="Normale 2_1 BILANCIO AOU" xfId="81" xr:uid="{00000000-0005-0000-0000-00005A000000}"/>
    <cellStyle name="Normale 20" xfId="122" xr:uid="{00000000-0005-0000-0000-00005B000000}"/>
    <cellStyle name="Normale 3" xfId="82" xr:uid="{00000000-0005-0000-0000-00005C000000}"/>
    <cellStyle name="Normale 3 2" xfId="83" xr:uid="{00000000-0005-0000-0000-00005D000000}"/>
    <cellStyle name="Normale 3 3" xfId="84" xr:uid="{00000000-0005-0000-0000-00005E000000}"/>
    <cellStyle name="Normale 4" xfId="85" xr:uid="{00000000-0005-0000-0000-00005F000000}"/>
    <cellStyle name="Normale 5" xfId="86" xr:uid="{00000000-0005-0000-0000-000060000000}"/>
    <cellStyle name="Normale 6" xfId="87" xr:uid="{00000000-0005-0000-0000-000061000000}"/>
    <cellStyle name="Normale 6 2" xfId="88" xr:uid="{00000000-0005-0000-0000-000062000000}"/>
    <cellStyle name="Normale 7" xfId="89" xr:uid="{00000000-0005-0000-0000-000063000000}"/>
    <cellStyle name="Normale 7 2" xfId="90" xr:uid="{00000000-0005-0000-0000-000064000000}"/>
    <cellStyle name="Normale 7 3" xfId="120" xr:uid="{00000000-0005-0000-0000-000065000000}"/>
    <cellStyle name="Normale 7 3 2" xfId="132" xr:uid="{00000000-0005-0000-0000-000066000000}"/>
    <cellStyle name="Normale 7_Allegati 1-2def" xfId="91" xr:uid="{00000000-0005-0000-0000-000067000000}"/>
    <cellStyle name="Normale 8" xfId="92" xr:uid="{00000000-0005-0000-0000-000068000000}"/>
    <cellStyle name="Normale 9" xfId="93" xr:uid="{00000000-0005-0000-0000-000069000000}"/>
    <cellStyle name="Normale_All7_piano dei conti" xfId="6" xr:uid="{00000000-0005-0000-0000-00006A000000}"/>
    <cellStyle name="Normale_FLUSSI FINANZIARI" xfId="134" xr:uid="{00000000-0005-0000-0000-00006B000000}"/>
    <cellStyle name="Normale_Mattone CE_Budget 2008 (v. 0.5 del 12.02.2008) 2" xfId="4" xr:uid="{00000000-0005-0000-0000-00006C000000}"/>
    <cellStyle name="Normale_Mattone CE_Budget 2008 (v. 0.5 del 12.02.2008) 2 2" xfId="131" xr:uid="{00000000-0005-0000-0000-00006D000000}"/>
    <cellStyle name="Normale_modelloDCF2004bottoni" xfId="135" xr:uid="{00000000-0005-0000-0000-00006E000000}"/>
    <cellStyle name="Nota 2" xfId="94" xr:uid="{00000000-0005-0000-0000-00006F000000}"/>
    <cellStyle name="Output 2" xfId="95" xr:uid="{00000000-0005-0000-0000-000070000000}"/>
    <cellStyle name="Percent 2" xfId="96" xr:uid="{00000000-0005-0000-0000-000071000000}"/>
    <cellStyle name="Percent 3" xfId="97" xr:uid="{00000000-0005-0000-0000-000072000000}"/>
    <cellStyle name="Percentuale" xfId="3" builtinId="5"/>
    <cellStyle name="Percentuale 2" xfId="98" xr:uid="{00000000-0005-0000-0000-000074000000}"/>
    <cellStyle name="Percentuale 2 2" xfId="99" xr:uid="{00000000-0005-0000-0000-000075000000}"/>
    <cellStyle name="Percentuale 2 3" xfId="100" xr:uid="{00000000-0005-0000-0000-000076000000}"/>
    <cellStyle name="Percentuale 3" xfId="128" xr:uid="{00000000-0005-0000-0000-000077000000}"/>
    <cellStyle name="Percentuale 4" xfId="101" xr:uid="{00000000-0005-0000-0000-000078000000}"/>
    <cellStyle name="SAS FM Row drillable header" xfId="102" xr:uid="{00000000-0005-0000-0000-000079000000}"/>
    <cellStyle name="SAS FM Row header" xfId="103" xr:uid="{00000000-0005-0000-0000-00007A000000}"/>
    <cellStyle name="Testo avviso 2" xfId="104" xr:uid="{00000000-0005-0000-0000-00007B000000}"/>
    <cellStyle name="Testo descrittivo 2" xfId="105" xr:uid="{00000000-0005-0000-0000-00007C000000}"/>
    <cellStyle name="Titolo 1 2" xfId="106" xr:uid="{00000000-0005-0000-0000-00007D000000}"/>
    <cellStyle name="Titolo 2 2" xfId="107" xr:uid="{00000000-0005-0000-0000-00007E000000}"/>
    <cellStyle name="Titolo 3 2" xfId="108" xr:uid="{00000000-0005-0000-0000-00007F000000}"/>
    <cellStyle name="Titolo 4 2" xfId="109" xr:uid="{00000000-0005-0000-0000-000080000000}"/>
    <cellStyle name="Titolo 5" xfId="110" xr:uid="{00000000-0005-0000-0000-000081000000}"/>
    <cellStyle name="Titolo 6" xfId="118" xr:uid="{00000000-0005-0000-0000-000082000000}"/>
    <cellStyle name="Totale 2" xfId="111" xr:uid="{00000000-0005-0000-0000-000083000000}"/>
    <cellStyle name="Valore non valido 2" xfId="112" xr:uid="{00000000-0005-0000-0000-000084000000}"/>
    <cellStyle name="Valore valido 2" xfId="113" xr:uid="{00000000-0005-0000-0000-000085000000}"/>
    <cellStyle name="Valuta (0)_% Attrezzature ed Edilizia" xfId="114" xr:uid="{00000000-0005-0000-0000-000086000000}"/>
    <cellStyle name="Valuta 2" xfId="115" xr:uid="{00000000-0005-0000-0000-000087000000}"/>
  </cellStyles>
  <dxfs count="0"/>
  <tableStyles count="0" defaultTableStyle="TableStyleMedium2" defaultPivotStyle="PivotStyleLight16"/>
  <colors>
    <mruColors>
      <color rgb="FFC0C0C0"/>
      <color rgb="FF00CCFF"/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0"/>
  <sheetViews>
    <sheetView zoomScaleNormal="100" workbookViewId="0">
      <selection activeCell="D9" sqref="D9:F120"/>
    </sheetView>
  </sheetViews>
  <sheetFormatPr defaultRowHeight="12.75"/>
  <cols>
    <col min="2" max="2" width="5.7109375" customWidth="1"/>
    <col min="3" max="3" width="48.7109375" customWidth="1"/>
    <col min="4" max="8" width="18.42578125" customWidth="1"/>
    <col min="9" max="9" width="18.42578125" style="322" customWidth="1"/>
    <col min="10" max="10" width="9.28515625" customWidth="1"/>
  </cols>
  <sheetData>
    <row r="1" spans="1:12" s="375" customFormat="1" ht="15.75">
      <c r="A1" s="1"/>
      <c r="B1" s="1"/>
      <c r="C1" s="2"/>
      <c r="D1" s="372"/>
      <c r="E1" s="372"/>
      <c r="F1" s="372"/>
      <c r="G1" s="372"/>
      <c r="H1" s="373"/>
      <c r="I1" s="189"/>
      <c r="J1" s="374"/>
      <c r="K1" s="374"/>
      <c r="L1" s="374"/>
    </row>
    <row r="2" spans="1:12" s="375" customFormat="1" ht="20.25">
      <c r="A2" s="417" t="s">
        <v>3520</v>
      </c>
      <c r="B2" s="416"/>
      <c r="C2" s="416"/>
      <c r="D2" s="418"/>
      <c r="E2" s="419"/>
      <c r="F2" s="418" t="s">
        <v>0</v>
      </c>
      <c r="G2" s="420"/>
      <c r="H2" s="415"/>
      <c r="K2" s="3"/>
      <c r="L2" s="3"/>
    </row>
    <row r="3" spans="1:12" ht="13.5" thickBot="1">
      <c r="A3" s="4"/>
      <c r="B3" s="4"/>
      <c r="C3" s="5"/>
      <c r="D3" s="190"/>
      <c r="E3" s="190"/>
      <c r="F3" s="190"/>
      <c r="G3" s="190"/>
      <c r="H3" s="190"/>
      <c r="I3" s="191"/>
      <c r="J3" s="6"/>
    </row>
    <row r="4" spans="1:12" ht="33" customHeight="1">
      <c r="A4" s="985" t="s">
        <v>2105</v>
      </c>
      <c r="B4" s="986"/>
      <c r="C4" s="987"/>
      <c r="D4" s="990" t="s">
        <v>3525</v>
      </c>
      <c r="E4" s="992" t="s">
        <v>3526</v>
      </c>
      <c r="F4" s="988" t="s">
        <v>3527</v>
      </c>
      <c r="G4" s="989"/>
      <c r="I4"/>
    </row>
    <row r="5" spans="1:12">
      <c r="A5" s="224"/>
      <c r="B5" s="225"/>
      <c r="C5" s="225"/>
      <c r="D5" s="991"/>
      <c r="E5" s="993"/>
      <c r="F5" s="226" t="s">
        <v>1</v>
      </c>
      <c r="G5" s="371" t="s">
        <v>2</v>
      </c>
      <c r="I5"/>
    </row>
    <row r="6" spans="1:12">
      <c r="A6" s="7"/>
      <c r="B6" s="8"/>
      <c r="C6" s="9"/>
      <c r="D6" s="192"/>
      <c r="E6" s="192"/>
      <c r="F6" s="193"/>
      <c r="G6" s="178"/>
      <c r="I6"/>
    </row>
    <row r="7" spans="1:12">
      <c r="A7" s="10" t="s">
        <v>3</v>
      </c>
      <c r="B7" s="4"/>
      <c r="C7" s="11" t="s">
        <v>4</v>
      </c>
      <c r="D7" s="194"/>
      <c r="E7" s="194"/>
      <c r="F7" s="195"/>
      <c r="G7" s="179"/>
      <c r="I7"/>
    </row>
    <row r="8" spans="1:12">
      <c r="A8" s="10"/>
      <c r="B8" s="4"/>
      <c r="C8" s="12"/>
      <c r="D8" s="196"/>
      <c r="E8" s="196"/>
      <c r="F8" s="195"/>
      <c r="G8" s="179"/>
      <c r="I8"/>
    </row>
    <row r="9" spans="1:12">
      <c r="A9" s="10">
        <v>1</v>
      </c>
      <c r="B9" s="11" t="s">
        <v>5</v>
      </c>
      <c r="C9" s="11"/>
      <c r="D9" s="957">
        <f t="shared" ref="D9" si="0">D10+D11+D18+D23</f>
        <v>48323038</v>
      </c>
      <c r="E9" s="957">
        <f t="shared" ref="E9" si="1">E10+E11+E18+E23</f>
        <v>44719577</v>
      </c>
      <c r="F9" s="958">
        <f>+D9-E9</f>
        <v>3603461</v>
      </c>
      <c r="G9" s="318">
        <f>+F9/E9</f>
        <v>8.0579049305408226E-2</v>
      </c>
      <c r="I9"/>
    </row>
    <row r="10" spans="1:12">
      <c r="A10" s="13"/>
      <c r="B10" s="14" t="s">
        <v>6</v>
      </c>
      <c r="C10" s="14"/>
      <c r="D10" s="959">
        <f>+ROUND('CE Min'!D27,0)</f>
        <v>30400396</v>
      </c>
      <c r="E10" s="959">
        <f>+ROUND('CE Min'!E27,0)</f>
        <v>27074638</v>
      </c>
      <c r="F10" s="960">
        <f t="shared" ref="F10:F73" si="2">+D10-E10</f>
        <v>3325758</v>
      </c>
      <c r="G10" s="423">
        <f t="shared" ref="G10:G71" si="3">+F10/E10</f>
        <v>0.12283665620940158</v>
      </c>
      <c r="I10"/>
    </row>
    <row r="11" spans="1:12">
      <c r="A11" s="10"/>
      <c r="B11" s="14" t="s">
        <v>7</v>
      </c>
      <c r="C11" s="14"/>
      <c r="D11" s="959">
        <f t="shared" ref="D11" si="4">SUM(D12:D17)</f>
        <v>1932171</v>
      </c>
      <c r="E11" s="959">
        <f t="shared" ref="E11" si="5">SUM(E12:E17)</f>
        <v>10944357</v>
      </c>
      <c r="F11" s="960">
        <f t="shared" si="2"/>
        <v>-9012186</v>
      </c>
      <c r="G11" s="423">
        <f t="shared" si="3"/>
        <v>-0.82345504628549671</v>
      </c>
      <c r="I11"/>
    </row>
    <row r="12" spans="1:12">
      <c r="A12" s="10"/>
      <c r="B12" s="15"/>
      <c r="C12" s="55" t="s">
        <v>8</v>
      </c>
      <c r="D12" s="959">
        <f>+ROUND('CE Min'!D38,0)</f>
        <v>265585</v>
      </c>
      <c r="E12" s="959">
        <f>+ROUND('CE Min'!E38,0)</f>
        <v>9736969</v>
      </c>
      <c r="F12" s="961">
        <f t="shared" si="2"/>
        <v>-9471384</v>
      </c>
      <c r="G12" s="423">
        <f t="shared" si="3"/>
        <v>-0.97272405817457153</v>
      </c>
      <c r="I12"/>
    </row>
    <row r="13" spans="1:12" ht="22.5">
      <c r="A13" s="13"/>
      <c r="B13" s="15"/>
      <c r="C13" s="55" t="s">
        <v>9</v>
      </c>
      <c r="D13" s="959">
        <f>+ROUND('CE Min'!D39,0)</f>
        <v>0</v>
      </c>
      <c r="E13" s="959">
        <f>+ROUND('CE Min'!E39,0)</f>
        <v>0</v>
      </c>
      <c r="F13" s="961">
        <f t="shared" si="2"/>
        <v>0</v>
      </c>
      <c r="G13" s="423"/>
      <c r="I13"/>
    </row>
    <row r="14" spans="1:12" ht="22.5">
      <c r="A14" s="10"/>
      <c r="B14" s="15"/>
      <c r="C14" s="55" t="s">
        <v>10</v>
      </c>
      <c r="D14" s="959">
        <f>+ROUND('CE Min'!D40,0)</f>
        <v>430750</v>
      </c>
      <c r="E14" s="959">
        <f>+ROUND('CE Min'!E40,0)</f>
        <v>0</v>
      </c>
      <c r="F14" s="961">
        <f t="shared" si="2"/>
        <v>430750</v>
      </c>
      <c r="G14" s="423">
        <v>1</v>
      </c>
      <c r="I14"/>
    </row>
    <row r="15" spans="1:12">
      <c r="A15" s="13"/>
      <c r="B15" s="15"/>
      <c r="C15" s="55" t="s">
        <v>11</v>
      </c>
      <c r="D15" s="959">
        <f>+ROUND('CE Min'!D41,0)</f>
        <v>0</v>
      </c>
      <c r="E15" s="959">
        <f>+ROUND('CE Min'!E41,0)</f>
        <v>0</v>
      </c>
      <c r="F15" s="961">
        <f t="shared" si="2"/>
        <v>0</v>
      </c>
      <c r="G15" s="423"/>
      <c r="I15"/>
    </row>
    <row r="16" spans="1:12">
      <c r="A16" s="13"/>
      <c r="B16" s="15"/>
      <c r="C16" s="55" t="s">
        <v>12</v>
      </c>
      <c r="D16" s="959">
        <f>+ROUND('CE Min'!D42,0)</f>
        <v>0</v>
      </c>
      <c r="E16" s="959">
        <f>+ROUND('CE Min'!E42,0)</f>
        <v>33579</v>
      </c>
      <c r="F16" s="961">
        <f t="shared" si="2"/>
        <v>-33579</v>
      </c>
      <c r="G16" s="423">
        <f t="shared" si="3"/>
        <v>-1</v>
      </c>
      <c r="I16"/>
    </row>
    <row r="17" spans="1:9">
      <c r="A17" s="10"/>
      <c r="B17" s="15"/>
      <c r="C17" s="55" t="s">
        <v>13</v>
      </c>
      <c r="D17" s="959">
        <f>+ROUND('CE Min'!D45,0)</f>
        <v>1235836</v>
      </c>
      <c r="E17" s="959">
        <f>+ROUND('CE Min'!E45,0)</f>
        <v>1173809</v>
      </c>
      <c r="F17" s="961">
        <f t="shared" si="2"/>
        <v>62027</v>
      </c>
      <c r="G17" s="423">
        <f t="shared" si="3"/>
        <v>5.2842498225861276E-2</v>
      </c>
      <c r="I17"/>
    </row>
    <row r="18" spans="1:9">
      <c r="A18" s="13"/>
      <c r="B18" s="15" t="s">
        <v>14</v>
      </c>
      <c r="C18" s="14"/>
      <c r="D18" s="959">
        <f t="shared" ref="D18" si="6">SUM(D19:D22)</f>
        <v>15888378</v>
      </c>
      <c r="E18" s="959">
        <f t="shared" ref="E18" si="7">SUM(E19:E22)</f>
        <v>6667462</v>
      </c>
      <c r="F18" s="960">
        <f t="shared" si="2"/>
        <v>9220916</v>
      </c>
      <c r="G18" s="423">
        <f t="shared" si="3"/>
        <v>1.3829724113913211</v>
      </c>
      <c r="I18"/>
    </row>
    <row r="19" spans="1:9">
      <c r="A19" s="13"/>
      <c r="B19" s="15"/>
      <c r="C19" s="14" t="s">
        <v>15</v>
      </c>
      <c r="D19" s="959">
        <f>+ROUND('CE Min'!D52,0)</f>
        <v>3546082</v>
      </c>
      <c r="E19" s="959">
        <f>+ROUND('CE Min'!E52,0)</f>
        <v>3759036</v>
      </c>
      <c r="F19" s="961">
        <f t="shared" si="2"/>
        <v>-212954</v>
      </c>
      <c r="G19" s="423"/>
      <c r="I19"/>
    </row>
    <row r="20" spans="1:9">
      <c r="A20" s="13"/>
      <c r="B20" s="15"/>
      <c r="C20" s="14" t="s">
        <v>16</v>
      </c>
      <c r="D20" s="959">
        <f>+ROUND('CE Min'!D53,0)</f>
        <v>1573674</v>
      </c>
      <c r="E20" s="959">
        <f>+ROUND('CE Min'!E53,0)</f>
        <v>632912</v>
      </c>
      <c r="F20" s="961">
        <f t="shared" si="2"/>
        <v>940762</v>
      </c>
      <c r="G20" s="423"/>
      <c r="I20"/>
    </row>
    <row r="21" spans="1:9">
      <c r="A21" s="13"/>
      <c r="B21" s="15"/>
      <c r="C21" s="14" t="s">
        <v>17</v>
      </c>
      <c r="D21" s="959">
        <f>+ROUND('CE Min'!D54,0)</f>
        <v>9343898</v>
      </c>
      <c r="E21" s="959">
        <f>+ROUND('CE Min'!E54,0)</f>
        <v>2199456</v>
      </c>
      <c r="F21" s="961">
        <f t="shared" si="2"/>
        <v>7144442</v>
      </c>
      <c r="G21" s="423">
        <f t="shared" si="3"/>
        <v>3.2482768466384413</v>
      </c>
      <c r="I21"/>
    </row>
    <row r="22" spans="1:9">
      <c r="A22" s="13"/>
      <c r="B22" s="15"/>
      <c r="C22" s="14" t="s">
        <v>18</v>
      </c>
      <c r="D22" s="959">
        <f>+ROUND('CE Min'!D55,0)</f>
        <v>1424724</v>
      </c>
      <c r="E22" s="959">
        <f>+ROUND('CE Min'!E55,0)</f>
        <v>76058</v>
      </c>
      <c r="F22" s="961">
        <f t="shared" si="2"/>
        <v>1348666</v>
      </c>
      <c r="G22" s="423">
        <f t="shared" si="3"/>
        <v>17.732072891740515</v>
      </c>
      <c r="I22"/>
    </row>
    <row r="23" spans="1:9">
      <c r="A23" s="13"/>
      <c r="B23" s="15" t="s">
        <v>19</v>
      </c>
      <c r="C23" s="14"/>
      <c r="D23" s="959">
        <f>+ROUND('CE Min'!D56,0)</f>
        <v>102093</v>
      </c>
      <c r="E23" s="959">
        <f>+ROUND('CE Min'!E56,0)</f>
        <v>33120</v>
      </c>
      <c r="F23" s="961">
        <f t="shared" si="2"/>
        <v>68973</v>
      </c>
      <c r="G23" s="423">
        <f t="shared" si="3"/>
        <v>2.0825181159420292</v>
      </c>
      <c r="I23"/>
    </row>
    <row r="24" spans="1:9">
      <c r="A24" s="10">
        <v>2</v>
      </c>
      <c r="B24" s="11" t="s">
        <v>20</v>
      </c>
      <c r="C24" s="11"/>
      <c r="D24" s="962">
        <f>+ROUND('CE Min'!D57,0)</f>
        <v>-130953</v>
      </c>
      <c r="E24" s="962">
        <f>+ROUND('CE Min'!E57,0)</f>
        <v>-43376</v>
      </c>
      <c r="F24" s="963">
        <f t="shared" si="2"/>
        <v>-87577</v>
      </c>
      <c r="G24" s="318"/>
      <c r="I24"/>
    </row>
    <row r="25" spans="1:9">
      <c r="A25" s="10">
        <v>3</v>
      </c>
      <c r="B25" s="11" t="s">
        <v>21</v>
      </c>
      <c r="C25" s="11"/>
      <c r="D25" s="962">
        <f>+ROUND('CE Min'!D60,0)</f>
        <v>7519996</v>
      </c>
      <c r="E25" s="962">
        <f>+ROUND('CE Min'!E60,0)</f>
        <v>9231984</v>
      </c>
      <c r="F25" s="963">
        <f t="shared" si="2"/>
        <v>-1711988</v>
      </c>
      <c r="G25" s="318">
        <f t="shared" si="3"/>
        <v>-0.18544096263598378</v>
      </c>
      <c r="I25"/>
    </row>
    <row r="26" spans="1:9">
      <c r="A26" s="10">
        <v>4</v>
      </c>
      <c r="B26" s="11" t="s">
        <v>22</v>
      </c>
      <c r="C26" s="11"/>
      <c r="D26" s="957">
        <f t="shared" ref="D26" si="8">SUM(D27:D29)</f>
        <v>35587676</v>
      </c>
      <c r="E26" s="957">
        <f t="shared" ref="E26" si="9">SUM(E27:E29)</f>
        <v>35756047</v>
      </c>
      <c r="F26" s="963">
        <f t="shared" si="2"/>
        <v>-168371</v>
      </c>
      <c r="G26" s="318">
        <f t="shared" si="3"/>
        <v>-4.7088818291350833E-3</v>
      </c>
      <c r="I26"/>
    </row>
    <row r="27" spans="1:9">
      <c r="A27" s="10"/>
      <c r="B27" s="14" t="s">
        <v>23</v>
      </c>
      <c r="C27" s="16"/>
      <c r="D27" s="959">
        <f>+ROUND('CE Min'!D67,0)</f>
        <v>33423678</v>
      </c>
      <c r="E27" s="959">
        <f>+ROUND('CE Min'!E67,0)</f>
        <v>33644228</v>
      </c>
      <c r="F27" s="961">
        <f t="shared" si="2"/>
        <v>-220550</v>
      </c>
      <c r="G27" s="423">
        <f t="shared" si="3"/>
        <v>-6.5553592134734075E-3</v>
      </c>
      <c r="I27"/>
    </row>
    <row r="28" spans="1:9">
      <c r="A28" s="13"/>
      <c r="B28" s="14" t="s">
        <v>24</v>
      </c>
      <c r="C28" s="16"/>
      <c r="D28" s="959">
        <f>+ROUND('CE Min'!D113,0)-1</f>
        <v>1217364</v>
      </c>
      <c r="E28" s="959">
        <f>+ROUND('CE Min'!E113,0)</f>
        <v>1208606</v>
      </c>
      <c r="F28" s="961">
        <f t="shared" si="2"/>
        <v>8758</v>
      </c>
      <c r="G28" s="423">
        <f t="shared" si="3"/>
        <v>7.2463648202971027E-3</v>
      </c>
      <c r="I28"/>
    </row>
    <row r="29" spans="1:9">
      <c r="A29" s="10"/>
      <c r="B29" s="14" t="s">
        <v>25</v>
      </c>
      <c r="C29" s="16"/>
      <c r="D29" s="959">
        <f>+ROUND('CE Min'!D106+'CE Min'!D112,0)</f>
        <v>946634</v>
      </c>
      <c r="E29" s="959">
        <f>+ROUND('CE Min'!E106+'CE Min'!E112,0)</f>
        <v>903213</v>
      </c>
      <c r="F29" s="961">
        <f t="shared" si="2"/>
        <v>43421</v>
      </c>
      <c r="G29" s="423">
        <f t="shared" si="3"/>
        <v>4.807393161967332E-2</v>
      </c>
      <c r="I29"/>
    </row>
    <row r="30" spans="1:9">
      <c r="A30" s="10">
        <v>5</v>
      </c>
      <c r="B30" s="11" t="s">
        <v>26</v>
      </c>
      <c r="C30" s="11"/>
      <c r="D30" s="962">
        <f>+ROUND(+'CE Min'!D121,0)-1</f>
        <v>892431</v>
      </c>
      <c r="E30" s="962">
        <f>+ROUND(+'CE Min'!E121,0)</f>
        <v>970928</v>
      </c>
      <c r="F30" s="963">
        <f t="shared" si="2"/>
        <v>-78497</v>
      </c>
      <c r="G30" s="318">
        <f t="shared" si="3"/>
        <v>-8.084739548143631E-2</v>
      </c>
      <c r="I30"/>
    </row>
    <row r="31" spans="1:9">
      <c r="A31" s="10">
        <v>6</v>
      </c>
      <c r="B31" s="11" t="s">
        <v>27</v>
      </c>
      <c r="C31" s="11"/>
      <c r="D31" s="962">
        <f>+ROUND('CE Min'!D142,0)</f>
        <v>1808258</v>
      </c>
      <c r="E31" s="962">
        <f>+ROUND('CE Min'!E142,0)</f>
        <v>1672348</v>
      </c>
      <c r="F31" s="963">
        <f t="shared" si="2"/>
        <v>135910</v>
      </c>
      <c r="G31" s="318">
        <f t="shared" si="3"/>
        <v>8.1268970333925716E-2</v>
      </c>
      <c r="I31"/>
    </row>
    <row r="32" spans="1:9">
      <c r="A32" s="10">
        <v>7</v>
      </c>
      <c r="B32" s="11" t="s">
        <v>28</v>
      </c>
      <c r="C32" s="11"/>
      <c r="D32" s="962">
        <f>+ROUND('CE Min'!D146,0)</f>
        <v>3507991</v>
      </c>
      <c r="E32" s="962">
        <f>+ROUND('CE Min'!E146,0)</f>
        <v>3018516</v>
      </c>
      <c r="F32" s="963">
        <f t="shared" si="2"/>
        <v>489475</v>
      </c>
      <c r="G32" s="318">
        <f t="shared" si="3"/>
        <v>0.16215749726024312</v>
      </c>
      <c r="I32"/>
    </row>
    <row r="33" spans="1:9">
      <c r="A33" s="10">
        <v>8</v>
      </c>
      <c r="B33" s="11" t="s">
        <v>29</v>
      </c>
      <c r="C33" s="11"/>
      <c r="D33" s="962">
        <f>+ROUND(+'CE Min'!D153,0)</f>
        <v>27540</v>
      </c>
      <c r="E33" s="962">
        <f>+ROUND(+'CE Min'!E153,0)</f>
        <v>7865</v>
      </c>
      <c r="F33" s="963">
        <f t="shared" si="2"/>
        <v>19675</v>
      </c>
      <c r="G33" s="318"/>
      <c r="I33"/>
    </row>
    <row r="34" spans="1:9">
      <c r="A34" s="10">
        <v>9</v>
      </c>
      <c r="B34" s="11" t="s">
        <v>30</v>
      </c>
      <c r="C34" s="11"/>
      <c r="D34" s="962">
        <f>+ROUND(+'CE Min'!D154,0)</f>
        <v>122631</v>
      </c>
      <c r="E34" s="962">
        <f>+ROUND(+'CE Min'!E154,0)</f>
        <v>287711</v>
      </c>
      <c r="F34" s="963">
        <f t="shared" si="2"/>
        <v>-165080</v>
      </c>
      <c r="G34" s="318">
        <f t="shared" si="3"/>
        <v>-0.57377020690901637</v>
      </c>
      <c r="I34"/>
    </row>
    <row r="35" spans="1:9">
      <c r="A35" s="227" t="s">
        <v>31</v>
      </c>
      <c r="B35" s="228"/>
      <c r="C35" s="228"/>
      <c r="D35" s="964">
        <f t="shared" ref="D35" si="10">D9+D24+D25+D26+SUM(D30:D34)</f>
        <v>97658608</v>
      </c>
      <c r="E35" s="964">
        <f t="shared" ref="E35" si="11">E9+E24+E25+E26+SUM(E30:E34)</f>
        <v>95621600</v>
      </c>
      <c r="F35" s="965">
        <f t="shared" si="2"/>
        <v>2037008</v>
      </c>
      <c r="G35" s="169">
        <f t="shared" si="3"/>
        <v>2.1302801877400086E-2</v>
      </c>
      <c r="I35"/>
    </row>
    <row r="36" spans="1:9">
      <c r="A36" s="13"/>
      <c r="B36" s="17"/>
      <c r="C36" s="12"/>
      <c r="D36" s="966"/>
      <c r="E36" s="966"/>
      <c r="F36" s="961"/>
      <c r="G36" s="180"/>
      <c r="I36"/>
    </row>
    <row r="37" spans="1:9">
      <c r="A37" s="10" t="s">
        <v>32</v>
      </c>
      <c r="B37" s="4"/>
      <c r="C37" s="18" t="s">
        <v>33</v>
      </c>
      <c r="D37" s="967"/>
      <c r="E37" s="967"/>
      <c r="F37" s="963"/>
      <c r="G37" s="181"/>
      <c r="I37"/>
    </row>
    <row r="38" spans="1:9">
      <c r="A38" s="10">
        <v>1</v>
      </c>
      <c r="B38" s="11" t="s">
        <v>34</v>
      </c>
      <c r="C38" s="19"/>
      <c r="D38" s="967">
        <f t="shared" ref="D38" si="12">SUM(D39:D40)</f>
        <v>12973371</v>
      </c>
      <c r="E38" s="967">
        <f t="shared" ref="E38" si="13">SUM(E39:E40)</f>
        <v>14636790</v>
      </c>
      <c r="F38" s="963">
        <f t="shared" si="2"/>
        <v>-1663419</v>
      </c>
      <c r="G38" s="181">
        <f t="shared" si="3"/>
        <v>-0.11364643477155852</v>
      </c>
      <c r="I38"/>
    </row>
    <row r="39" spans="1:9">
      <c r="A39" s="10"/>
      <c r="B39" s="14" t="s">
        <v>35</v>
      </c>
      <c r="C39" s="16"/>
      <c r="D39" s="959">
        <f>+ROUND('CE Min'!D161,0)</f>
        <v>12480843</v>
      </c>
      <c r="E39" s="959">
        <f>+ROUND('CE Min'!E161,0)</f>
        <v>14150077</v>
      </c>
      <c r="F39" s="961">
        <f t="shared" si="2"/>
        <v>-1669234</v>
      </c>
      <c r="G39" s="180">
        <f t="shared" si="3"/>
        <v>-0.11796642520037171</v>
      </c>
      <c r="I39"/>
    </row>
    <row r="40" spans="1:9">
      <c r="A40" s="13"/>
      <c r="B40" s="14" t="s">
        <v>36</v>
      </c>
      <c r="C40" s="16"/>
      <c r="D40" s="959">
        <f>+ROUND('CE Min'!D191,0)</f>
        <v>492528</v>
      </c>
      <c r="E40" s="959">
        <f>+ROUND('CE Min'!E191,0)</f>
        <v>486713</v>
      </c>
      <c r="F40" s="961">
        <f t="shared" si="2"/>
        <v>5815</v>
      </c>
      <c r="G40" s="180">
        <f t="shared" si="3"/>
        <v>1.1947492670218383E-2</v>
      </c>
      <c r="I40"/>
    </row>
    <row r="41" spans="1:9">
      <c r="A41" s="10">
        <v>2</v>
      </c>
      <c r="B41" s="11" t="s">
        <v>37</v>
      </c>
      <c r="C41" s="19"/>
      <c r="D41" s="967">
        <f t="shared" ref="D41" si="14">SUM(D42:D58)</f>
        <v>8171986</v>
      </c>
      <c r="E41" s="967">
        <f t="shared" ref="E41" si="15">SUM(E42:E58)</f>
        <v>8233347</v>
      </c>
      <c r="F41" s="963">
        <f t="shared" si="2"/>
        <v>-61361</v>
      </c>
      <c r="G41" s="180">
        <f t="shared" si="3"/>
        <v>-7.4527406654912032E-3</v>
      </c>
      <c r="I41"/>
    </row>
    <row r="42" spans="1:9">
      <c r="A42" s="13"/>
      <c r="B42" s="15" t="s">
        <v>38</v>
      </c>
      <c r="C42" s="14"/>
      <c r="D42" s="959">
        <f>+ROUND('CE Min'!D201,0)</f>
        <v>0</v>
      </c>
      <c r="E42" s="959">
        <f>+ROUND('CE Min'!E201,0)</f>
        <v>0</v>
      </c>
      <c r="F42" s="961">
        <f t="shared" si="2"/>
        <v>0</v>
      </c>
      <c r="G42" s="180"/>
      <c r="I42"/>
    </row>
    <row r="43" spans="1:9">
      <c r="A43" s="13"/>
      <c r="B43" s="15" t="s">
        <v>39</v>
      </c>
      <c r="C43" s="14"/>
      <c r="D43" s="959">
        <f>+ROUND('CE Min'!D209,0)</f>
        <v>0</v>
      </c>
      <c r="E43" s="959">
        <f>+ROUND('CE Min'!E209,0)</f>
        <v>0</v>
      </c>
      <c r="F43" s="961">
        <f t="shared" si="2"/>
        <v>0</v>
      </c>
      <c r="G43" s="180"/>
      <c r="I43"/>
    </row>
    <row r="44" spans="1:9">
      <c r="A44" s="13"/>
      <c r="B44" s="15" t="s">
        <v>40</v>
      </c>
      <c r="C44" s="14"/>
      <c r="D44" s="959">
        <f>+ROUND('CE Min'!D213,0)</f>
        <v>419860</v>
      </c>
      <c r="E44" s="959">
        <f>+ROUND('CE Min'!E213,0)</f>
        <v>377143</v>
      </c>
      <c r="F44" s="961">
        <f t="shared" si="2"/>
        <v>42717</v>
      </c>
      <c r="G44" s="180">
        <f t="shared" si="3"/>
        <v>0.11326472982396597</v>
      </c>
      <c r="I44"/>
    </row>
    <row r="45" spans="1:9">
      <c r="A45" s="13"/>
      <c r="B45" s="15" t="s">
        <v>41</v>
      </c>
      <c r="C45" s="14"/>
      <c r="D45" s="959">
        <f>+ROUND('CE Min'!D232,0)</f>
        <v>0</v>
      </c>
      <c r="E45" s="959">
        <f>+ROUND('CE Min'!E232,0)</f>
        <v>0</v>
      </c>
      <c r="F45" s="961">
        <f t="shared" si="2"/>
        <v>0</v>
      </c>
      <c r="G45" s="180"/>
      <c r="I45"/>
    </row>
    <row r="46" spans="1:9">
      <c r="A46" s="13"/>
      <c r="B46" s="15" t="s">
        <v>42</v>
      </c>
      <c r="C46" s="14"/>
      <c r="D46" s="959">
        <f>+ROUND('CE Min'!D238,0)</f>
        <v>0</v>
      </c>
      <c r="E46" s="959">
        <f>+ROUND('CE Min'!E238,0)</f>
        <v>0</v>
      </c>
      <c r="F46" s="961">
        <f t="shared" si="2"/>
        <v>0</v>
      </c>
      <c r="G46" s="180"/>
      <c r="I46"/>
    </row>
    <row r="47" spans="1:9">
      <c r="A47" s="13"/>
      <c r="B47" s="15" t="s">
        <v>43</v>
      </c>
      <c r="C47" s="14"/>
      <c r="D47" s="959">
        <f>+ROUND('CE Min'!D243,0)</f>
        <v>0</v>
      </c>
      <c r="E47" s="959">
        <f>+ROUND('CE Min'!E243,0)</f>
        <v>0</v>
      </c>
      <c r="F47" s="961">
        <f t="shared" si="2"/>
        <v>0</v>
      </c>
      <c r="G47" s="180"/>
      <c r="I47"/>
    </row>
    <row r="48" spans="1:9">
      <c r="A48" s="13"/>
      <c r="B48" s="15" t="s">
        <v>44</v>
      </c>
      <c r="C48" s="14"/>
      <c r="D48" s="959">
        <f>+ROUND('CE Min'!D248,0)</f>
        <v>0</v>
      </c>
      <c r="E48" s="959">
        <f>+ROUND('CE Min'!E248,0)</f>
        <v>0</v>
      </c>
      <c r="F48" s="961">
        <f t="shared" si="2"/>
        <v>0</v>
      </c>
      <c r="G48" s="180"/>
      <c r="I48"/>
    </row>
    <row r="49" spans="1:9">
      <c r="A49" s="13"/>
      <c r="B49" s="15" t="s">
        <v>45</v>
      </c>
      <c r="C49" s="14"/>
      <c r="D49" s="959">
        <f>+ROUND('CE Min'!D258,0)</f>
        <v>0</v>
      </c>
      <c r="E49" s="959">
        <f>+ROUND('CE Min'!E258,0)</f>
        <v>0</v>
      </c>
      <c r="F49" s="961">
        <f t="shared" si="2"/>
        <v>0</v>
      </c>
      <c r="G49" s="180"/>
      <c r="I49"/>
    </row>
    <row r="50" spans="1:9">
      <c r="A50" s="13"/>
      <c r="B50" s="15" t="s">
        <v>46</v>
      </c>
      <c r="C50" s="14"/>
      <c r="D50" s="959">
        <f>+ROUND('CE Min'!D264,0)</f>
        <v>0</v>
      </c>
      <c r="E50" s="959">
        <f>+ROUND('CE Min'!E264,0)</f>
        <v>0</v>
      </c>
      <c r="F50" s="961">
        <f t="shared" si="2"/>
        <v>0</v>
      </c>
      <c r="G50" s="180"/>
      <c r="I50"/>
    </row>
    <row r="51" spans="1:9">
      <c r="A51" s="13"/>
      <c r="B51" s="15" t="s">
        <v>47</v>
      </c>
      <c r="C51" s="14"/>
      <c r="D51" s="959">
        <f>+ROUND('CE Min'!D271,0)</f>
        <v>0</v>
      </c>
      <c r="E51" s="959">
        <f>+ROUND('CE Min'!E271,0)</f>
        <v>0</v>
      </c>
      <c r="F51" s="961">
        <f t="shared" si="2"/>
        <v>0</v>
      </c>
      <c r="G51" s="180"/>
      <c r="I51"/>
    </row>
    <row r="52" spans="1:9">
      <c r="A52" s="13"/>
      <c r="B52" s="15" t="s">
        <v>48</v>
      </c>
      <c r="C52" s="14"/>
      <c r="D52" s="959">
        <f>+ROUND('CE Min'!D277,0)+1</f>
        <v>104861</v>
      </c>
      <c r="E52" s="959">
        <f>+ROUND('CE Min'!E277,0)</f>
        <v>104617</v>
      </c>
      <c r="F52" s="961">
        <f t="shared" si="2"/>
        <v>244</v>
      </c>
      <c r="G52" s="180">
        <f t="shared" si="3"/>
        <v>2.3323169274592085E-3</v>
      </c>
      <c r="I52"/>
    </row>
    <row r="53" spans="1:9">
      <c r="A53" s="13"/>
      <c r="B53" s="15" t="s">
        <v>49</v>
      </c>
      <c r="C53" s="14"/>
      <c r="D53" s="959">
        <f>+ROUND('CE Min'!D282,0)</f>
        <v>500179</v>
      </c>
      <c r="E53" s="959">
        <f>+ROUND('CE Min'!E282,0)</f>
        <v>521161</v>
      </c>
      <c r="F53" s="961">
        <f t="shared" si="2"/>
        <v>-20982</v>
      </c>
      <c r="G53" s="180">
        <f t="shared" si="3"/>
        <v>-4.0260111558616245E-2</v>
      </c>
      <c r="I53"/>
    </row>
    <row r="54" spans="1:9">
      <c r="A54" s="13"/>
      <c r="B54" s="15" t="s">
        <v>50</v>
      </c>
      <c r="C54" s="14"/>
      <c r="D54" s="959">
        <f>+ROUND('CE Min'!D291,0)</f>
        <v>964672</v>
      </c>
      <c r="E54" s="959">
        <f>+ROUND('CE Min'!E291,0)</f>
        <v>953832</v>
      </c>
      <c r="F54" s="961">
        <f t="shared" si="2"/>
        <v>10840</v>
      </c>
      <c r="G54" s="180">
        <f t="shared" si="3"/>
        <v>1.136468476629008E-2</v>
      </c>
      <c r="I54"/>
    </row>
    <row r="55" spans="1:9">
      <c r="A55" s="13"/>
      <c r="B55" s="15" t="s">
        <v>51</v>
      </c>
      <c r="C55" s="14"/>
      <c r="D55" s="959">
        <f>+ROUND('CE Min'!D299,0)</f>
        <v>2378140</v>
      </c>
      <c r="E55" s="959">
        <f>+ROUND('CE Min'!E299,0)</f>
        <v>2936977</v>
      </c>
      <c r="F55" s="961">
        <f t="shared" si="2"/>
        <v>-558837</v>
      </c>
      <c r="G55" s="180">
        <f t="shared" si="3"/>
        <v>-0.19027626024991004</v>
      </c>
      <c r="I55"/>
    </row>
    <row r="56" spans="1:9">
      <c r="A56" s="13"/>
      <c r="B56" s="15" t="s">
        <v>52</v>
      </c>
      <c r="C56" s="55"/>
      <c r="D56" s="959">
        <f>+ROUND('CE Min'!D307,0)</f>
        <v>3092473</v>
      </c>
      <c r="E56" s="959">
        <f>+ROUND('CE Min'!E307,0)</f>
        <v>2408719</v>
      </c>
      <c r="F56" s="961">
        <f t="shared" si="2"/>
        <v>683754</v>
      </c>
      <c r="G56" s="180">
        <f t="shared" si="3"/>
        <v>0.28386623761426716</v>
      </c>
      <c r="I56"/>
    </row>
    <row r="57" spans="1:9">
      <c r="A57" s="13"/>
      <c r="B57" s="15" t="s">
        <v>53</v>
      </c>
      <c r="C57" s="14"/>
      <c r="D57" s="959">
        <f>+ROUND('CE Min'!D321,0)</f>
        <v>711801</v>
      </c>
      <c r="E57" s="959">
        <f>+ROUND('CE Min'!E321,0)</f>
        <v>930898</v>
      </c>
      <c r="F57" s="961">
        <f t="shared" si="2"/>
        <v>-219097</v>
      </c>
      <c r="G57" s="180">
        <f t="shared" si="3"/>
        <v>-0.23536090957333672</v>
      </c>
      <c r="I57"/>
    </row>
    <row r="58" spans="1:9">
      <c r="A58" s="13"/>
      <c r="B58" s="15" t="s">
        <v>54</v>
      </c>
      <c r="C58" s="14"/>
      <c r="D58" s="959">
        <f>+ROUND('CE Min'!D329,0)</f>
        <v>0</v>
      </c>
      <c r="E58" s="959">
        <f>+ROUND('CE Min'!E329,0)</f>
        <v>0</v>
      </c>
      <c r="F58" s="961">
        <f t="shared" si="2"/>
        <v>0</v>
      </c>
      <c r="G58" s="181"/>
      <c r="I58"/>
    </row>
    <row r="59" spans="1:9">
      <c r="A59" s="10">
        <v>3</v>
      </c>
      <c r="B59" s="11" t="s">
        <v>55</v>
      </c>
      <c r="C59" s="19"/>
      <c r="D59" s="967">
        <f t="shared" ref="D59" si="16">SUM(D60:D62)</f>
        <v>11652254</v>
      </c>
      <c r="E59" s="967">
        <f t="shared" ref="E59" si="17">SUM(E60:E62)</f>
        <v>10997532</v>
      </c>
      <c r="F59" s="963">
        <f t="shared" si="2"/>
        <v>654722</v>
      </c>
      <c r="G59" s="181">
        <f t="shared" si="3"/>
        <v>5.9533538979472847E-2</v>
      </c>
      <c r="I59"/>
    </row>
    <row r="60" spans="1:9">
      <c r="A60" s="13"/>
      <c r="B60" s="15" t="s">
        <v>56</v>
      </c>
      <c r="C60" s="14"/>
      <c r="D60" s="959">
        <f>+ROUND('CE Min'!D331,0)</f>
        <v>11204473</v>
      </c>
      <c r="E60" s="959">
        <f>+ROUND('CE Min'!E331,0)</f>
        <v>10558137</v>
      </c>
      <c r="F60" s="961">
        <f t="shared" si="2"/>
        <v>646336</v>
      </c>
      <c r="G60" s="180">
        <f t="shared" si="3"/>
        <v>6.121686051241805E-2</v>
      </c>
      <c r="I60"/>
    </row>
    <row r="61" spans="1:9">
      <c r="A61" s="13"/>
      <c r="B61" s="15" t="s">
        <v>57</v>
      </c>
      <c r="C61" s="55"/>
      <c r="D61" s="959">
        <f>+ROUND('CE Min'!D351,0)</f>
        <v>277451</v>
      </c>
      <c r="E61" s="959">
        <f>+ROUND('CE Min'!E351,0)</f>
        <v>328653</v>
      </c>
      <c r="F61" s="961">
        <f t="shared" si="2"/>
        <v>-51202</v>
      </c>
      <c r="G61" s="180">
        <f t="shared" si="3"/>
        <v>-0.15579349648413371</v>
      </c>
      <c r="I61"/>
    </row>
    <row r="62" spans="1:9">
      <c r="A62" s="13"/>
      <c r="B62" s="15" t="s">
        <v>58</v>
      </c>
      <c r="C62" s="14"/>
      <c r="D62" s="959">
        <f>+ROUND('CE Min'!D365,0)</f>
        <v>170330</v>
      </c>
      <c r="E62" s="959">
        <f>+ROUND('CE Min'!E365,0)</f>
        <v>110742</v>
      </c>
      <c r="F62" s="961">
        <f t="shared" si="2"/>
        <v>59588</v>
      </c>
      <c r="G62" s="180">
        <f t="shared" si="3"/>
        <v>0.53807950009932992</v>
      </c>
      <c r="I62"/>
    </row>
    <row r="63" spans="1:9">
      <c r="A63" s="10">
        <v>4</v>
      </c>
      <c r="B63" s="20" t="s">
        <v>59</v>
      </c>
      <c r="C63" s="19"/>
      <c r="D63" s="967">
        <f>+ROUND('CE Min'!D368,0)</f>
        <v>1948330</v>
      </c>
      <c r="E63" s="967">
        <f>+ROUND('CE Min'!E368,0)</f>
        <v>1961873</v>
      </c>
      <c r="F63" s="963">
        <f t="shared" si="2"/>
        <v>-13543</v>
      </c>
      <c r="G63" s="181">
        <f t="shared" si="3"/>
        <v>-6.9030971933453393E-3</v>
      </c>
      <c r="I63"/>
    </row>
    <row r="64" spans="1:9">
      <c r="A64" s="10">
        <v>5</v>
      </c>
      <c r="B64" s="11" t="s">
        <v>60</v>
      </c>
      <c r="C64" s="11"/>
      <c r="D64" s="967">
        <f>+ROUND('CE Min'!D376,0)</f>
        <v>1723263</v>
      </c>
      <c r="E64" s="967">
        <f>+ROUND('CE Min'!E376,0)+1</f>
        <v>893938</v>
      </c>
      <c r="F64" s="963">
        <f t="shared" si="2"/>
        <v>829325</v>
      </c>
      <c r="G64" s="181">
        <f t="shared" si="3"/>
        <v>0.92772093814112389</v>
      </c>
      <c r="I64"/>
    </row>
    <row r="65" spans="1:9">
      <c r="A65" s="10">
        <v>6</v>
      </c>
      <c r="B65" s="11" t="s">
        <v>61</v>
      </c>
      <c r="C65" s="19"/>
      <c r="D65" s="967">
        <f t="shared" ref="D65" si="18">SUM(D66:D70)</f>
        <v>46477866</v>
      </c>
      <c r="E65" s="967">
        <f t="shared" ref="E65" si="19">SUM(E66:E70)</f>
        <v>42971652</v>
      </c>
      <c r="F65" s="963">
        <f t="shared" si="2"/>
        <v>3506214</v>
      </c>
      <c r="G65" s="181">
        <f t="shared" si="3"/>
        <v>8.1593651554285135E-2</v>
      </c>
      <c r="I65"/>
    </row>
    <row r="66" spans="1:9">
      <c r="A66" s="10"/>
      <c r="B66" s="14" t="s">
        <v>62</v>
      </c>
      <c r="C66" s="16"/>
      <c r="D66" s="959">
        <f>+ROUND('CE Min'!D389,0)</f>
        <v>15995286</v>
      </c>
      <c r="E66" s="959">
        <f>+ROUND('CE Min'!E389,0)</f>
        <v>14740585</v>
      </c>
      <c r="F66" s="961">
        <f t="shared" si="2"/>
        <v>1254701</v>
      </c>
      <c r="G66" s="180">
        <f t="shared" si="3"/>
        <v>8.5118806343167513E-2</v>
      </c>
      <c r="I66"/>
    </row>
    <row r="67" spans="1:9">
      <c r="A67" s="10"/>
      <c r="B67" s="14" t="s">
        <v>63</v>
      </c>
      <c r="C67" s="16"/>
      <c r="D67" s="959">
        <f>+ROUND('CE Min'!D393,0)</f>
        <v>2177195</v>
      </c>
      <c r="E67" s="959">
        <f>+ROUND('CE Min'!E393,0)</f>
        <v>1859320</v>
      </c>
      <c r="F67" s="961">
        <f t="shared" si="2"/>
        <v>317875</v>
      </c>
      <c r="G67" s="180">
        <f t="shared" si="3"/>
        <v>0.17096304025127465</v>
      </c>
      <c r="I67"/>
    </row>
    <row r="68" spans="1:9">
      <c r="A68" s="10"/>
      <c r="B68" s="14" t="s">
        <v>64</v>
      </c>
      <c r="C68" s="16"/>
      <c r="D68" s="959">
        <f>+ROUND('CE Min'!D397,0)</f>
        <v>19874885</v>
      </c>
      <c r="E68" s="959">
        <f>+ROUND('CE Min'!E397,0)</f>
        <v>18555788</v>
      </c>
      <c r="F68" s="961">
        <f t="shared" si="2"/>
        <v>1319097</v>
      </c>
      <c r="G68" s="180">
        <f t="shared" si="3"/>
        <v>7.108816936257302E-2</v>
      </c>
      <c r="I68"/>
    </row>
    <row r="69" spans="1:9">
      <c r="A69" s="13"/>
      <c r="B69" s="14" t="s">
        <v>65</v>
      </c>
      <c r="C69" s="16"/>
      <c r="D69" s="959">
        <f>+ROUND('CE Min'!D402+'CE Min'!D411+'CE Min'!D420,0)</f>
        <v>1346301</v>
      </c>
      <c r="E69" s="959">
        <f>+ROUND('CE Min'!E402+'CE Min'!E411+'CE Min'!E420,0)</f>
        <v>1033837</v>
      </c>
      <c r="F69" s="961">
        <f t="shared" si="2"/>
        <v>312464</v>
      </c>
      <c r="G69" s="180">
        <f t="shared" si="3"/>
        <v>0.3022371998680643</v>
      </c>
      <c r="I69"/>
    </row>
    <row r="70" spans="1:9">
      <c r="A70" s="13"/>
      <c r="B70" s="14" t="s">
        <v>66</v>
      </c>
      <c r="C70" s="16"/>
      <c r="D70" s="959">
        <f>+ROUND('CE Min'!D406+'CE Min'!D415+'CE Min'!D424,0)</f>
        <v>7084199</v>
      </c>
      <c r="E70" s="959">
        <f>+ROUND('CE Min'!E406+'CE Min'!E415+'CE Min'!E424,0)</f>
        <v>6782122</v>
      </c>
      <c r="F70" s="961">
        <f t="shared" si="2"/>
        <v>302077</v>
      </c>
      <c r="G70" s="180">
        <f t="shared" si="3"/>
        <v>4.4540189633863858E-2</v>
      </c>
      <c r="I70"/>
    </row>
    <row r="71" spans="1:9">
      <c r="A71" s="10">
        <v>7</v>
      </c>
      <c r="B71" s="20" t="s">
        <v>67</v>
      </c>
      <c r="C71" s="11"/>
      <c r="D71" s="967">
        <f>+ROUND('CE Min'!D428,0)</f>
        <v>931927</v>
      </c>
      <c r="E71" s="967">
        <f>+ROUND('CE Min'!E428,0)</f>
        <v>933093</v>
      </c>
      <c r="F71" s="963">
        <f t="shared" si="2"/>
        <v>-1166</v>
      </c>
      <c r="G71" s="181">
        <f t="shared" si="3"/>
        <v>-1.2496074882139294E-3</v>
      </c>
      <c r="I71"/>
    </row>
    <row r="72" spans="1:9">
      <c r="A72" s="10">
        <v>8</v>
      </c>
      <c r="B72" s="20" t="s">
        <v>68</v>
      </c>
      <c r="C72" s="11"/>
      <c r="D72" s="967">
        <f t="shared" ref="D72" si="20">SUM(D73:D75)</f>
        <v>3520922</v>
      </c>
      <c r="E72" s="967">
        <f t="shared" ref="E72" si="21">SUM(E73:E75)</f>
        <v>3025842</v>
      </c>
      <c r="F72" s="963">
        <f t="shared" si="2"/>
        <v>495080</v>
      </c>
      <c r="G72" s="181"/>
      <c r="I72"/>
    </row>
    <row r="73" spans="1:9">
      <c r="A73" s="10"/>
      <c r="B73" s="14" t="s">
        <v>69</v>
      </c>
      <c r="C73" s="16"/>
      <c r="D73" s="959">
        <f>+ROUND('CE Min'!D437,0)</f>
        <v>14514</v>
      </c>
      <c r="E73" s="959">
        <f>+ROUND('CE Min'!E437,0)</f>
        <v>15368</v>
      </c>
      <c r="F73" s="961">
        <f t="shared" si="2"/>
        <v>-854</v>
      </c>
      <c r="G73" s="181"/>
      <c r="I73"/>
    </row>
    <row r="74" spans="1:9">
      <c r="A74" s="10"/>
      <c r="B74" s="14" t="s">
        <v>70</v>
      </c>
      <c r="C74" s="16"/>
      <c r="D74" s="959">
        <f>+ROUND('CE Min'!D439,0)+1</f>
        <v>1259668</v>
      </c>
      <c r="E74" s="959">
        <f>+ROUND('CE Min'!E439,0)</f>
        <v>1041322</v>
      </c>
      <c r="F74" s="961">
        <f t="shared" ref="F74:F120" si="22">+D74-E74</f>
        <v>218346</v>
      </c>
      <c r="G74" s="181"/>
      <c r="I74"/>
    </row>
    <row r="75" spans="1:9">
      <c r="A75" s="13"/>
      <c r="B75" s="14" t="s">
        <v>71</v>
      </c>
      <c r="C75" s="16"/>
      <c r="D75" s="959">
        <f>+ROUND('CE Min'!D442,0)</f>
        <v>2246740</v>
      </c>
      <c r="E75" s="959">
        <f>+ROUND('CE Min'!E442,0)</f>
        <v>1969152</v>
      </c>
      <c r="F75" s="961">
        <f t="shared" si="22"/>
        <v>277588</v>
      </c>
      <c r="G75" s="181"/>
      <c r="I75"/>
    </row>
    <row r="76" spans="1:9">
      <c r="A76" s="10">
        <v>9</v>
      </c>
      <c r="B76" s="20" t="s">
        <v>72</v>
      </c>
      <c r="C76" s="11"/>
      <c r="D76" s="967">
        <f>+ROUND('CE Min'!D443,0)</f>
        <v>4012</v>
      </c>
      <c r="E76" s="967">
        <f>+ROUND('CE Min'!E443,0)</f>
        <v>312643</v>
      </c>
      <c r="F76" s="963">
        <f t="shared" si="22"/>
        <v>-308631</v>
      </c>
      <c r="G76" s="181">
        <f t="shared" ref="G76:G120" si="23">+F76/E76</f>
        <v>-0.98716747216473744</v>
      </c>
      <c r="I76"/>
    </row>
    <row r="77" spans="1:9">
      <c r="A77" s="10">
        <v>10</v>
      </c>
      <c r="B77" s="11" t="s">
        <v>73</v>
      </c>
      <c r="C77" s="19"/>
      <c r="D77" s="967">
        <f t="shared" ref="D77" si="24">SUM(D78:D79)</f>
        <v>227198</v>
      </c>
      <c r="E77" s="967">
        <f t="shared" ref="E77" si="25">SUM(E78:E79)</f>
        <v>-219696</v>
      </c>
      <c r="F77" s="963">
        <f t="shared" si="22"/>
        <v>446894</v>
      </c>
      <c r="G77" s="181"/>
      <c r="I77"/>
    </row>
    <row r="78" spans="1:9">
      <c r="A78" s="10"/>
      <c r="B78" s="14" t="s">
        <v>74</v>
      </c>
      <c r="C78" s="16"/>
      <c r="D78" s="959">
        <f>+ROUND('CE Min'!D447,0)</f>
        <v>247109</v>
      </c>
      <c r="E78" s="959">
        <f>+ROUND('CE Min'!E447,0)</f>
        <v>-221458</v>
      </c>
      <c r="F78" s="961">
        <f t="shared" si="22"/>
        <v>468567</v>
      </c>
      <c r="G78" s="181"/>
      <c r="I78"/>
    </row>
    <row r="79" spans="1:9">
      <c r="A79" s="10"/>
      <c r="B79" s="14" t="s">
        <v>75</v>
      </c>
      <c r="C79" s="16"/>
      <c r="D79" s="959">
        <f>+ROUND('CE Min'!D456,0)</f>
        <v>-19911</v>
      </c>
      <c r="E79" s="959">
        <f>+ROUND('CE Min'!E456,0)</f>
        <v>1762</v>
      </c>
      <c r="F79" s="961">
        <f t="shared" si="22"/>
        <v>-21673</v>
      </c>
      <c r="G79" s="181"/>
      <c r="I79"/>
    </row>
    <row r="80" spans="1:9">
      <c r="A80" s="10">
        <v>11</v>
      </c>
      <c r="B80" s="11" t="s">
        <v>76</v>
      </c>
      <c r="C80" s="19"/>
      <c r="D80" s="967">
        <f t="shared" ref="D80" si="26">SUM(D81:D84)</f>
        <v>7371241</v>
      </c>
      <c r="E80" s="967">
        <f t="shared" ref="E80" si="27">SUM(E81:E84)</f>
        <v>5352623</v>
      </c>
      <c r="F80" s="963">
        <f t="shared" si="22"/>
        <v>2018618</v>
      </c>
      <c r="G80" s="181">
        <f t="shared" si="23"/>
        <v>0.37712687779430759</v>
      </c>
      <c r="I80"/>
    </row>
    <row r="81" spans="1:9">
      <c r="A81" s="10"/>
      <c r="B81" s="14" t="s">
        <v>77</v>
      </c>
      <c r="C81" s="12"/>
      <c r="D81" s="959">
        <f>+ROUND('CE Min'!D464,0)</f>
        <v>0</v>
      </c>
      <c r="E81" s="959">
        <f>+ROUND('CE Min'!E464,0)</f>
        <v>30609</v>
      </c>
      <c r="F81" s="961">
        <f t="shared" si="22"/>
        <v>-30609</v>
      </c>
      <c r="G81" s="181"/>
      <c r="I81"/>
    </row>
    <row r="82" spans="1:9">
      <c r="A82" s="10"/>
      <c r="B82" s="14" t="s">
        <v>78</v>
      </c>
      <c r="C82" s="12"/>
      <c r="D82" s="959">
        <f>+ROUND('CE Min'!D472,0)</f>
        <v>0</v>
      </c>
      <c r="E82" s="959">
        <f>+ROUND('CE Min'!E472,0)</f>
        <v>0</v>
      </c>
      <c r="F82" s="961">
        <f t="shared" si="22"/>
        <v>0</v>
      </c>
      <c r="G82" s="181"/>
      <c r="I82"/>
    </row>
    <row r="83" spans="1:9">
      <c r="A83" s="10"/>
      <c r="B83" s="14" t="s">
        <v>79</v>
      </c>
      <c r="C83" s="12"/>
      <c r="D83" s="959">
        <f>+ROUND('CE Min'!D473,0)</f>
        <v>6448071</v>
      </c>
      <c r="E83" s="959">
        <f>+ROUND('CE Min'!E473,0)</f>
        <v>4120039</v>
      </c>
      <c r="F83" s="961">
        <f t="shared" si="22"/>
        <v>2328032</v>
      </c>
      <c r="G83" s="181">
        <f t="shared" si="23"/>
        <v>0.56505096189623449</v>
      </c>
      <c r="I83"/>
    </row>
    <row r="84" spans="1:9">
      <c r="A84" s="10"/>
      <c r="B84" s="14" t="s">
        <v>80</v>
      </c>
      <c r="C84" s="12"/>
      <c r="D84" s="959">
        <f>+ROUND('CE Min'!D480,0)</f>
        <v>923170</v>
      </c>
      <c r="E84" s="959">
        <f>+ROUND('CE Min'!E480,0)</f>
        <v>1201975</v>
      </c>
      <c r="F84" s="961">
        <f t="shared" si="22"/>
        <v>-278805</v>
      </c>
      <c r="G84" s="181">
        <f t="shared" si="23"/>
        <v>-0.23195573951205309</v>
      </c>
      <c r="I84"/>
    </row>
    <row r="85" spans="1:9">
      <c r="A85" s="227" t="s">
        <v>81</v>
      </c>
      <c r="B85" s="228"/>
      <c r="C85" s="228"/>
      <c r="D85" s="964">
        <f t="shared" ref="D85" si="28">D38+D41+D63+D64+D65+D71+D72+D76+D77+D80+D59</f>
        <v>95002370</v>
      </c>
      <c r="E85" s="964">
        <f t="shared" ref="E85" si="29">E38+E41+E63+E64+E65+E71+E72+E76+E77+E80+E59</f>
        <v>89099637</v>
      </c>
      <c r="F85" s="965">
        <f t="shared" si="22"/>
        <v>5902733</v>
      </c>
      <c r="G85" s="169">
        <f t="shared" si="23"/>
        <v>6.6248676187087047E-2</v>
      </c>
      <c r="I85"/>
    </row>
    <row r="86" spans="1:9" ht="13.5" thickBot="1">
      <c r="A86" s="21"/>
      <c r="B86" s="22"/>
      <c r="C86" s="23"/>
      <c r="D86" s="968"/>
      <c r="E86" s="968"/>
      <c r="F86" s="969"/>
      <c r="G86" s="182"/>
      <c r="I86"/>
    </row>
    <row r="87" spans="1:9" ht="13.5" thickBot="1">
      <c r="A87" s="229" t="s">
        <v>82</v>
      </c>
      <c r="B87" s="230"/>
      <c r="C87" s="230"/>
      <c r="D87" s="970">
        <f>+D35-D85</f>
        <v>2656238</v>
      </c>
      <c r="E87" s="970">
        <f>+E35-E85</f>
        <v>6521963</v>
      </c>
      <c r="F87" s="971"/>
      <c r="G87" s="930"/>
      <c r="I87"/>
    </row>
    <row r="88" spans="1:9">
      <c r="A88" s="13"/>
      <c r="B88" s="17"/>
      <c r="C88" s="12"/>
      <c r="D88" s="966"/>
      <c r="E88" s="966"/>
      <c r="F88" s="961"/>
      <c r="G88" s="180"/>
      <c r="I88"/>
    </row>
    <row r="89" spans="1:9">
      <c r="A89" s="10" t="s">
        <v>83</v>
      </c>
      <c r="B89" s="11" t="s">
        <v>84</v>
      </c>
      <c r="C89" s="19"/>
      <c r="D89" s="967"/>
      <c r="E89" s="967"/>
      <c r="F89" s="963"/>
      <c r="G89" s="181"/>
      <c r="I89"/>
    </row>
    <row r="90" spans="1:9">
      <c r="A90" s="24"/>
      <c r="B90" s="4" t="s">
        <v>85</v>
      </c>
      <c r="C90" s="25" t="s">
        <v>86</v>
      </c>
      <c r="D90" s="962">
        <f>+ROUND('CE Min'!D493+'CE Min'!D497,0)</f>
        <v>215</v>
      </c>
      <c r="E90" s="962">
        <f>+ROUND('CE Min'!E493+'CE Min'!E497,0)</f>
        <v>761</v>
      </c>
      <c r="F90" s="963">
        <f t="shared" si="22"/>
        <v>-546</v>
      </c>
      <c r="G90" s="181">
        <f t="shared" si="23"/>
        <v>-0.71747700394218139</v>
      </c>
      <c r="I90"/>
    </row>
    <row r="91" spans="1:9">
      <c r="A91" s="24"/>
      <c r="B91" s="4" t="s">
        <v>87</v>
      </c>
      <c r="C91" s="25" t="s">
        <v>88</v>
      </c>
      <c r="D91" s="962">
        <f>+ROUND('CE Min'!D503+'CE Min'!D507,0)</f>
        <v>7</v>
      </c>
      <c r="E91" s="962">
        <f>+ROUND('CE Min'!E503+'CE Min'!E507,0)</f>
        <v>0</v>
      </c>
      <c r="F91" s="963">
        <f t="shared" si="22"/>
        <v>7</v>
      </c>
      <c r="G91" s="181"/>
      <c r="I91"/>
    </row>
    <row r="92" spans="1:9">
      <c r="A92" s="227" t="s">
        <v>89</v>
      </c>
      <c r="B92" s="228"/>
      <c r="C92" s="228" t="s">
        <v>90</v>
      </c>
      <c r="D92" s="964">
        <f t="shared" ref="D92" si="30">+D90-D91</f>
        <v>208</v>
      </c>
      <c r="E92" s="964">
        <f t="shared" ref="E92" si="31">+E90-E91</f>
        <v>761</v>
      </c>
      <c r="F92" s="965">
        <f t="shared" si="22"/>
        <v>-553</v>
      </c>
      <c r="G92" s="169">
        <f t="shared" si="23"/>
        <v>-0.72667542706964516</v>
      </c>
      <c r="I92"/>
    </row>
    <row r="93" spans="1:9">
      <c r="A93" s="24"/>
      <c r="B93" s="26"/>
      <c r="C93" s="11"/>
      <c r="D93" s="967"/>
      <c r="E93" s="967"/>
      <c r="F93" s="963"/>
      <c r="G93" s="181"/>
      <c r="I93"/>
    </row>
    <row r="94" spans="1:9">
      <c r="A94" s="10" t="s">
        <v>91</v>
      </c>
      <c r="B94" s="11" t="s">
        <v>92</v>
      </c>
      <c r="C94" s="11"/>
      <c r="D94" s="967"/>
      <c r="E94" s="967"/>
      <c r="F94" s="963"/>
      <c r="G94" s="181"/>
      <c r="I94"/>
    </row>
    <row r="95" spans="1:9">
      <c r="A95" s="24"/>
      <c r="B95" s="4" t="s">
        <v>85</v>
      </c>
      <c r="C95" s="11" t="s">
        <v>93</v>
      </c>
      <c r="D95" s="962">
        <f>+ROUND(+'CE Min'!D512,0)</f>
        <v>0</v>
      </c>
      <c r="E95" s="962">
        <f>+ROUND(+'CE Min'!E512,0)</f>
        <v>0</v>
      </c>
      <c r="F95" s="963">
        <f t="shared" si="22"/>
        <v>0</v>
      </c>
      <c r="G95" s="181"/>
      <c r="I95"/>
    </row>
    <row r="96" spans="1:9">
      <c r="A96" s="24"/>
      <c r="B96" s="4" t="s">
        <v>87</v>
      </c>
      <c r="C96" s="11" t="s">
        <v>94</v>
      </c>
      <c r="D96" s="962">
        <f>+ROUND(+'CE Min'!D513,0)</f>
        <v>0</v>
      </c>
      <c r="E96" s="962">
        <f>+ROUND(+'CE Min'!E513,0)</f>
        <v>0</v>
      </c>
      <c r="F96" s="963">
        <f t="shared" si="22"/>
        <v>0</v>
      </c>
      <c r="G96" s="181"/>
      <c r="I96"/>
    </row>
    <row r="97" spans="1:9">
      <c r="A97" s="227" t="s">
        <v>95</v>
      </c>
      <c r="B97" s="228"/>
      <c r="C97" s="228" t="s">
        <v>90</v>
      </c>
      <c r="D97" s="964">
        <f t="shared" ref="D97" si="32">D95-D96</f>
        <v>0</v>
      </c>
      <c r="E97" s="964">
        <f t="shared" ref="E97" si="33">E95-E96</f>
        <v>0</v>
      </c>
      <c r="F97" s="965">
        <f t="shared" si="22"/>
        <v>0</v>
      </c>
      <c r="G97" s="169"/>
      <c r="I97"/>
    </row>
    <row r="98" spans="1:9">
      <c r="A98" s="24"/>
      <c r="B98" s="26"/>
      <c r="C98" s="11"/>
      <c r="D98" s="972"/>
      <c r="E98" s="972"/>
      <c r="F98" s="953"/>
      <c r="G98" s="183"/>
      <c r="I98"/>
    </row>
    <row r="99" spans="1:9">
      <c r="A99" s="10" t="s">
        <v>96</v>
      </c>
      <c r="B99" s="11" t="s">
        <v>97</v>
      </c>
      <c r="C99" s="19"/>
      <c r="D99" s="972"/>
      <c r="E99" s="972"/>
      <c r="F99" s="953"/>
      <c r="G99" s="183"/>
      <c r="I99"/>
    </row>
    <row r="100" spans="1:9">
      <c r="A100" s="10"/>
      <c r="B100" s="4">
        <v>1</v>
      </c>
      <c r="C100" s="25" t="s">
        <v>98</v>
      </c>
      <c r="D100" s="972">
        <f t="shared" ref="D100" si="34">SUM(D101:D102)</f>
        <v>1708283</v>
      </c>
      <c r="E100" s="972">
        <f t="shared" ref="E100" si="35">SUM(E101:E102)</f>
        <v>642915</v>
      </c>
      <c r="F100" s="953">
        <f t="shared" si="22"/>
        <v>1065368</v>
      </c>
      <c r="G100" s="183">
        <f t="shared" si="23"/>
        <v>1.65708997301354</v>
      </c>
      <c r="I100"/>
    </row>
    <row r="101" spans="1:9">
      <c r="A101" s="10"/>
      <c r="B101" s="4"/>
      <c r="C101" s="14" t="s">
        <v>99</v>
      </c>
      <c r="D101" s="959">
        <f>+ROUND(+'CE Min'!D517,0)</f>
        <v>0</v>
      </c>
      <c r="E101" s="959">
        <f>+ROUND(+'CE Min'!E517,0)</f>
        <v>0</v>
      </c>
      <c r="F101" s="954">
        <f t="shared" si="22"/>
        <v>0</v>
      </c>
      <c r="G101" s="184"/>
      <c r="I101"/>
    </row>
    <row r="102" spans="1:9">
      <c r="A102" s="10"/>
      <c r="B102" s="4"/>
      <c r="C102" s="14" t="s">
        <v>100</v>
      </c>
      <c r="D102" s="959">
        <f>+ROUND('CE Min'!D518,0)</f>
        <v>1708283</v>
      </c>
      <c r="E102" s="959">
        <f>+ROUND('CE Min'!E518,0)</f>
        <v>642915</v>
      </c>
      <c r="F102" s="954">
        <f t="shared" si="22"/>
        <v>1065368</v>
      </c>
      <c r="G102" s="184">
        <f t="shared" si="23"/>
        <v>1.65708997301354</v>
      </c>
      <c r="I102"/>
    </row>
    <row r="103" spans="1:9">
      <c r="A103" s="10"/>
      <c r="B103" s="4">
        <v>2</v>
      </c>
      <c r="C103" s="11" t="s">
        <v>101</v>
      </c>
      <c r="D103" s="972">
        <f t="shared" ref="D103" si="36">SUM(D104:D105)</f>
        <v>982516</v>
      </c>
      <c r="E103" s="972">
        <f t="shared" ref="E103" si="37">SUM(E104:E105)</f>
        <v>3928445</v>
      </c>
      <c r="F103" s="953">
        <f t="shared" si="22"/>
        <v>-2945929</v>
      </c>
      <c r="G103" s="183">
        <f t="shared" si="23"/>
        <v>-0.74989696941156103</v>
      </c>
      <c r="I103"/>
    </row>
    <row r="104" spans="1:9">
      <c r="A104" s="10"/>
      <c r="B104" s="4"/>
      <c r="C104" s="14" t="s">
        <v>102</v>
      </c>
      <c r="D104" s="959">
        <f>+ROUND(+'CE Min'!D543,0)</f>
        <v>2359</v>
      </c>
      <c r="E104" s="959">
        <f>+ROUND(+'CE Min'!E543,0)</f>
        <v>3391</v>
      </c>
      <c r="F104" s="973">
        <f t="shared" si="22"/>
        <v>-1032</v>
      </c>
      <c r="G104" s="185"/>
      <c r="I104"/>
    </row>
    <row r="105" spans="1:9">
      <c r="A105" s="10"/>
      <c r="B105" s="4"/>
      <c r="C105" s="14" t="s">
        <v>103</v>
      </c>
      <c r="D105" s="959">
        <f>+ROUND('CE Min'!D544,0)</f>
        <v>980157</v>
      </c>
      <c r="E105" s="959">
        <f>+ROUND('CE Min'!E544,0)</f>
        <v>3925054</v>
      </c>
      <c r="F105" s="973">
        <f t="shared" si="22"/>
        <v>-2944897</v>
      </c>
      <c r="G105" s="185">
        <f t="shared" si="23"/>
        <v>-0.75028190694956043</v>
      </c>
      <c r="I105"/>
    </row>
    <row r="106" spans="1:9">
      <c r="A106" s="227" t="s">
        <v>104</v>
      </c>
      <c r="B106" s="228"/>
      <c r="C106" s="228" t="s">
        <v>105</v>
      </c>
      <c r="D106" s="974">
        <f t="shared" ref="D106" si="38">D100-D103</f>
        <v>725767</v>
      </c>
      <c r="E106" s="974">
        <f t="shared" ref="E106" si="39">E100-E103</f>
        <v>-3285530</v>
      </c>
      <c r="F106" s="975">
        <f t="shared" si="22"/>
        <v>4011297</v>
      </c>
      <c r="G106" s="170">
        <f t="shared" si="23"/>
        <v>-1.2208979981920725</v>
      </c>
      <c r="I106"/>
    </row>
    <row r="107" spans="1:9" ht="13.5" thickBot="1">
      <c r="A107" s="27"/>
      <c r="B107" s="28"/>
      <c r="C107" s="29"/>
      <c r="D107" s="976"/>
      <c r="E107" s="976"/>
      <c r="F107" s="977"/>
      <c r="G107" s="186"/>
      <c r="I107"/>
    </row>
    <row r="108" spans="1:9" ht="13.5" thickBot="1">
      <c r="A108" s="229" t="s">
        <v>106</v>
      </c>
      <c r="B108" s="230"/>
      <c r="C108" s="230"/>
      <c r="D108" s="978">
        <f t="shared" ref="D108" si="40">D87+D92+D97+D106</f>
        <v>3382213</v>
      </c>
      <c r="E108" s="978">
        <f t="shared" ref="E108" si="41">E87+E92+E97+E106</f>
        <v>3237194</v>
      </c>
      <c r="F108" s="979">
        <f t="shared" si="22"/>
        <v>145019</v>
      </c>
      <c r="G108" s="171">
        <f t="shared" si="23"/>
        <v>4.4797747679008425E-2</v>
      </c>
      <c r="I108"/>
    </row>
    <row r="109" spans="1:9">
      <c r="A109" s="13"/>
      <c r="B109" s="17"/>
      <c r="C109" s="30"/>
      <c r="D109" s="980"/>
      <c r="E109" s="980"/>
      <c r="F109" s="973"/>
      <c r="G109" s="185"/>
      <c r="I109"/>
    </row>
    <row r="110" spans="1:9">
      <c r="A110" s="10" t="s">
        <v>107</v>
      </c>
      <c r="B110" s="11" t="s">
        <v>108</v>
      </c>
      <c r="C110" s="19"/>
      <c r="D110" s="972"/>
      <c r="E110" s="972"/>
      <c r="F110" s="953"/>
      <c r="G110" s="183"/>
      <c r="I110"/>
    </row>
    <row r="111" spans="1:9">
      <c r="A111" s="10"/>
      <c r="B111" s="4" t="s">
        <v>85</v>
      </c>
      <c r="C111" s="25" t="s">
        <v>109</v>
      </c>
      <c r="D111" s="972">
        <f t="shared" ref="D111" si="42">SUM(D112:D115)</f>
        <v>3337088</v>
      </c>
      <c r="E111" s="972">
        <f t="shared" ref="E111" si="43">SUM(E112:E115)</f>
        <v>3071671</v>
      </c>
      <c r="F111" s="953">
        <f t="shared" si="22"/>
        <v>265417</v>
      </c>
      <c r="G111" s="183">
        <f t="shared" si="23"/>
        <v>8.6408017004425283E-2</v>
      </c>
      <c r="I111"/>
    </row>
    <row r="112" spans="1:9">
      <c r="A112" s="13"/>
      <c r="B112" s="15"/>
      <c r="C112" s="14" t="s">
        <v>110</v>
      </c>
      <c r="D112" s="959">
        <f>+ROUND(+'CE Min'!D578,0)</f>
        <v>3087721</v>
      </c>
      <c r="E112" s="959">
        <f>+ROUND(+'CE Min'!E578,0)</f>
        <v>2853938</v>
      </c>
      <c r="F112" s="954">
        <f t="shared" si="22"/>
        <v>233783</v>
      </c>
      <c r="G112" s="184">
        <f t="shared" si="23"/>
        <v>8.1915935104406618E-2</v>
      </c>
      <c r="I112"/>
    </row>
    <row r="113" spans="1:9">
      <c r="A113" s="13"/>
      <c r="B113" s="15"/>
      <c r="C113" s="14" t="s">
        <v>111</v>
      </c>
      <c r="D113" s="959">
        <f>+ROUND(+'CE Min'!D579,0)</f>
        <v>175770</v>
      </c>
      <c r="E113" s="959">
        <f>+ROUND(+'CE Min'!E579,0)</f>
        <v>147543</v>
      </c>
      <c r="F113" s="954">
        <f t="shared" si="22"/>
        <v>28227</v>
      </c>
      <c r="G113" s="184">
        <f t="shared" si="23"/>
        <v>0.19131371871251093</v>
      </c>
      <c r="I113"/>
    </row>
    <row r="114" spans="1:9">
      <c r="A114" s="13"/>
      <c r="B114" s="15"/>
      <c r="C114" s="14" t="s">
        <v>112</v>
      </c>
      <c r="D114" s="959">
        <f>+ROUND(+'CE Min'!D580,0)</f>
        <v>73597</v>
      </c>
      <c r="E114" s="959">
        <f>+ROUND(+'CE Min'!E580,0)</f>
        <v>70190</v>
      </c>
      <c r="F114" s="954">
        <f t="shared" si="22"/>
        <v>3407</v>
      </c>
      <c r="G114" s="184">
        <f t="shared" si="23"/>
        <v>4.8539678016811513E-2</v>
      </c>
      <c r="I114"/>
    </row>
    <row r="115" spans="1:9">
      <c r="A115" s="13"/>
      <c r="B115" s="15"/>
      <c r="C115" s="14" t="s">
        <v>113</v>
      </c>
      <c r="D115" s="959">
        <f>+ROUND(+'CE Min'!D581,0)</f>
        <v>0</v>
      </c>
      <c r="E115" s="959">
        <f>+ROUND(+'CE Min'!E581,0)</f>
        <v>0</v>
      </c>
      <c r="F115" s="954">
        <f t="shared" si="22"/>
        <v>0</v>
      </c>
      <c r="G115" s="184"/>
      <c r="I115"/>
    </row>
    <row r="116" spans="1:9">
      <c r="A116" s="10"/>
      <c r="B116" s="4" t="s">
        <v>87</v>
      </c>
      <c r="C116" s="11" t="s">
        <v>114</v>
      </c>
      <c r="D116" s="967">
        <f>+ROUND(+'CE Min'!D582,0)</f>
        <v>29525</v>
      </c>
      <c r="E116" s="967">
        <f>+ROUND(+'CE Min'!E582,0)</f>
        <v>18407</v>
      </c>
      <c r="F116" s="953">
        <f t="shared" si="22"/>
        <v>11118</v>
      </c>
      <c r="G116" s="183">
        <f t="shared" si="23"/>
        <v>0.60400934427120112</v>
      </c>
      <c r="I116"/>
    </row>
    <row r="117" spans="1:9">
      <c r="A117" s="10"/>
      <c r="B117" s="4" t="s">
        <v>115</v>
      </c>
      <c r="C117" s="31" t="s">
        <v>116</v>
      </c>
      <c r="D117" s="967">
        <f>+ROUND(+'CE Min'!D585,0)</f>
        <v>0</v>
      </c>
      <c r="E117" s="967">
        <f>+ROUND(+'CE Min'!E585,0)</f>
        <v>0</v>
      </c>
      <c r="F117" s="981">
        <f t="shared" si="22"/>
        <v>0</v>
      </c>
      <c r="G117" s="187"/>
      <c r="I117"/>
    </row>
    <row r="118" spans="1:9">
      <c r="A118" s="227" t="s">
        <v>117</v>
      </c>
      <c r="B118" s="228"/>
      <c r="C118" s="228"/>
      <c r="D118" s="974">
        <f t="shared" ref="D118" si="44">D111+D116+D117</f>
        <v>3366613</v>
      </c>
      <c r="E118" s="974">
        <f t="shared" ref="E118" si="45">E111+E116+E117</f>
        <v>3090078</v>
      </c>
      <c r="F118" s="975">
        <f t="shared" si="22"/>
        <v>276535</v>
      </c>
      <c r="G118" s="170">
        <f t="shared" si="23"/>
        <v>8.9491268505196314E-2</v>
      </c>
      <c r="I118"/>
    </row>
    <row r="119" spans="1:9">
      <c r="A119" s="13"/>
      <c r="B119" s="17"/>
      <c r="C119" s="12"/>
      <c r="D119" s="973"/>
      <c r="E119" s="973"/>
      <c r="F119" s="973"/>
      <c r="G119" s="185"/>
      <c r="I119"/>
    </row>
    <row r="120" spans="1:9" ht="13.5" thickBot="1">
      <c r="A120" s="32" t="s">
        <v>118</v>
      </c>
      <c r="B120" s="33"/>
      <c r="C120" s="34"/>
      <c r="D120" s="982">
        <f t="shared" ref="D120" si="46">D108-D118</f>
        <v>15600</v>
      </c>
      <c r="E120" s="982">
        <f t="shared" ref="E120" si="47">E108-E118</f>
        <v>147116</v>
      </c>
      <c r="F120" s="982">
        <f t="shared" si="22"/>
        <v>-131516</v>
      </c>
      <c r="G120" s="188">
        <f t="shared" si="23"/>
        <v>-0.8939612278746023</v>
      </c>
      <c r="I120"/>
    </row>
    <row r="121" spans="1:9">
      <c r="G121" s="232"/>
      <c r="H121" s="322"/>
      <c r="I121"/>
    </row>
    <row r="122" spans="1:9">
      <c r="A122" s="35"/>
      <c r="B122" s="35"/>
      <c r="C122" s="35"/>
      <c r="D122" s="36"/>
      <c r="E122" s="36"/>
      <c r="F122" s="36"/>
      <c r="G122" s="36"/>
      <c r="H122" s="319"/>
      <c r="I122"/>
    </row>
    <row r="123" spans="1:9">
      <c r="G123" s="232"/>
      <c r="H123" s="322"/>
      <c r="I123"/>
    </row>
    <row r="124" spans="1:9">
      <c r="E124" s="422"/>
      <c r="G124" s="232"/>
      <c r="H124" s="322"/>
      <c r="I124"/>
    </row>
    <row r="125" spans="1:9">
      <c r="C125" s="35"/>
      <c r="D125" s="36"/>
      <c r="E125" s="36"/>
      <c r="F125" s="36"/>
      <c r="G125" s="232"/>
      <c r="H125" s="320"/>
      <c r="I125"/>
    </row>
    <row r="126" spans="1:9">
      <c r="G126" s="232"/>
      <c r="H126" s="322"/>
      <c r="I126"/>
    </row>
    <row r="127" spans="1:9">
      <c r="G127" s="232"/>
      <c r="H127" s="322"/>
      <c r="I127"/>
    </row>
    <row r="128" spans="1:9">
      <c r="H128" s="322"/>
      <c r="I128"/>
    </row>
    <row r="129" spans="8:9">
      <c r="H129" s="322"/>
      <c r="I129"/>
    </row>
    <row r="130" spans="8:9">
      <c r="I130" s="321"/>
    </row>
  </sheetData>
  <mergeCells count="4">
    <mergeCell ref="A4:C4"/>
    <mergeCell ref="F4:G4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1" manualBreakCount="1"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50"/>
  <sheetViews>
    <sheetView topLeftCell="A37" zoomScale="80" zoomScaleNormal="80" workbookViewId="0">
      <selection activeCell="D47" sqref="D47"/>
    </sheetView>
  </sheetViews>
  <sheetFormatPr defaultColWidth="16.7109375" defaultRowHeight="12.75"/>
  <cols>
    <col min="1" max="1" width="8.5703125" customWidth="1"/>
    <col min="3" max="3" width="52" customWidth="1"/>
    <col min="4" max="4" width="26.140625" customWidth="1"/>
    <col min="5" max="5" width="26.85546875" customWidth="1"/>
    <col min="6" max="6" width="21.140625" customWidth="1"/>
    <col min="7" max="7" width="11.140625" customWidth="1"/>
    <col min="8" max="8" width="5" customWidth="1"/>
    <col min="9" max="9" width="4.7109375" customWidth="1"/>
    <col min="10" max="11" width="5.140625" customWidth="1"/>
    <col min="12" max="12" width="7" customWidth="1"/>
    <col min="13" max="13" width="8.5703125" hidden="1" customWidth="1"/>
    <col min="14" max="14" width="2.7109375" customWidth="1"/>
    <col min="15" max="15" width="1.28515625" customWidth="1"/>
    <col min="16" max="16" width="16.7109375" hidden="1" customWidth="1"/>
    <col min="17" max="18" width="3.85546875" customWidth="1"/>
    <col min="19" max="19" width="3" customWidth="1"/>
    <col min="20" max="20" width="3.140625" customWidth="1"/>
    <col min="21" max="21" width="4" customWidth="1"/>
    <col min="22" max="22" width="2.42578125" customWidth="1"/>
    <col min="23" max="23" width="3" customWidth="1"/>
    <col min="24" max="24" width="3.85546875" customWidth="1"/>
    <col min="25" max="25" width="2.5703125" customWidth="1"/>
    <col min="26" max="26" width="4" customWidth="1"/>
    <col min="27" max="27" width="2.7109375" customWidth="1"/>
    <col min="28" max="28" width="3.85546875" customWidth="1"/>
    <col min="29" max="29" width="3.42578125" customWidth="1"/>
  </cols>
  <sheetData>
    <row r="1" spans="1:31" s="59" customFormat="1" ht="15" customHeight="1">
      <c r="A1" s="56" t="s">
        <v>1501</v>
      </c>
      <c r="B1" s="57"/>
      <c r="C1" s="58"/>
      <c r="D1" s="58"/>
      <c r="E1" s="58"/>
      <c r="F1" s="376"/>
      <c r="G1" s="376"/>
      <c r="Z1" s="60" t="s">
        <v>1502</v>
      </c>
      <c r="AA1" s="61"/>
      <c r="AB1" s="61"/>
      <c r="AC1" s="62"/>
      <c r="AD1" s="63"/>
    </row>
    <row r="2" spans="1:31" s="59" customFormat="1" ht="15.95" customHeight="1" thickBot="1">
      <c r="A2" s="57"/>
      <c r="B2" s="57"/>
      <c r="C2" s="58"/>
      <c r="D2" s="58"/>
      <c r="E2" s="58"/>
      <c r="F2" s="376"/>
      <c r="G2" s="376"/>
      <c r="Z2" s="64"/>
      <c r="AA2" s="65"/>
      <c r="AB2" s="65"/>
      <c r="AC2" s="66"/>
      <c r="AD2" s="63"/>
    </row>
    <row r="3" spans="1:31" s="59" customFormat="1" ht="18">
      <c r="A3" s="67" t="s">
        <v>1503</v>
      </c>
      <c r="B3" s="57"/>
      <c r="C3" s="58"/>
      <c r="D3" s="58"/>
      <c r="E3" s="58"/>
      <c r="F3" s="376"/>
      <c r="G3" s="376"/>
      <c r="AD3" s="63"/>
    </row>
    <row r="4" spans="1:31" s="59" customFormat="1" ht="18">
      <c r="A4" s="67" t="s">
        <v>1504</v>
      </c>
      <c r="B4" s="57"/>
      <c r="C4" s="58"/>
      <c r="D4" s="58"/>
      <c r="E4" s="58"/>
      <c r="F4" s="376"/>
      <c r="G4" s="376"/>
      <c r="AD4" s="63"/>
    </row>
    <row r="5" spans="1:31" s="59" customFormat="1" ht="18">
      <c r="A5" s="57"/>
      <c r="B5" s="57"/>
      <c r="C5" s="58"/>
      <c r="D5" s="58"/>
      <c r="E5" s="58"/>
      <c r="F5" s="376"/>
      <c r="G5" s="376"/>
      <c r="AD5" s="63"/>
    </row>
    <row r="6" spans="1:31" s="59" customFormat="1" ht="76.5" customHeight="1">
      <c r="A6" s="68" t="s">
        <v>1505</v>
      </c>
      <c r="B6" s="57"/>
      <c r="C6" s="69"/>
      <c r="D6" s="69"/>
      <c r="E6" s="69"/>
      <c r="F6" s="377"/>
      <c r="G6" s="377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1"/>
      <c r="AE6" s="72"/>
    </row>
    <row r="7" spans="1:31" s="59" customFormat="1" ht="21" customHeight="1" thickBot="1">
      <c r="A7" s="73"/>
      <c r="B7" s="74"/>
      <c r="C7" s="74"/>
      <c r="D7" s="74"/>
      <c r="E7" s="74"/>
      <c r="F7" s="75"/>
      <c r="G7" s="75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1"/>
      <c r="AE7" s="72"/>
    </row>
    <row r="8" spans="1:31" s="59" customFormat="1" ht="18.75" thickBot="1">
      <c r="A8" s="76" t="s">
        <v>1506</v>
      </c>
      <c r="B8" s="77"/>
      <c r="C8" s="378"/>
      <c r="D8" s="378"/>
      <c r="E8" s="378"/>
      <c r="F8" s="221"/>
      <c r="G8" s="221"/>
      <c r="H8" s="221"/>
      <c r="I8" s="221"/>
      <c r="J8" s="221"/>
      <c r="K8" s="221"/>
      <c r="L8" s="78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78"/>
      <c r="AD8" s="71"/>
      <c r="AE8" s="72"/>
    </row>
    <row r="9" spans="1:31" s="59" customFormat="1" ht="18">
      <c r="A9" s="79"/>
      <c r="B9" s="80"/>
      <c r="C9" s="379"/>
      <c r="D9" s="379"/>
      <c r="E9" s="379"/>
      <c r="F9" s="81"/>
      <c r="G9" s="81"/>
      <c r="H9" s="81"/>
      <c r="I9" s="81"/>
      <c r="J9" s="81"/>
      <c r="K9" s="81"/>
      <c r="L9" s="82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  <c r="AD9" s="71"/>
      <c r="AE9" s="72"/>
    </row>
    <row r="10" spans="1:31" s="59" customFormat="1" ht="18">
      <c r="A10" s="83" t="s">
        <v>1507</v>
      </c>
      <c r="B10" s="380">
        <v>60</v>
      </c>
      <c r="C10" s="381" t="s">
        <v>3464</v>
      </c>
      <c r="D10" s="382"/>
      <c r="E10" s="382"/>
      <c r="F10" s="73" t="s">
        <v>3193</v>
      </c>
      <c r="G10" s="73"/>
      <c r="H10" s="84">
        <v>9</v>
      </c>
      <c r="I10" s="84">
        <v>0</v>
      </c>
      <c r="J10" s="84">
        <v>1</v>
      </c>
      <c r="K10" s="84"/>
      <c r="L10" s="85"/>
      <c r="M10" s="86"/>
      <c r="N10" s="86"/>
      <c r="O10" s="86"/>
      <c r="P10" s="86"/>
      <c r="Q10" s="73"/>
      <c r="R10" s="73"/>
      <c r="S10" s="84">
        <v>2</v>
      </c>
      <c r="T10" s="84">
        <v>0</v>
      </c>
      <c r="U10" s="84">
        <v>2</v>
      </c>
      <c r="V10" s="84">
        <v>4</v>
      </c>
      <c r="W10" s="73"/>
      <c r="X10" s="73"/>
      <c r="Y10" s="73"/>
      <c r="Z10" s="73"/>
      <c r="AA10" s="73"/>
      <c r="AB10" s="73"/>
      <c r="AC10" s="85"/>
      <c r="AD10" s="71"/>
      <c r="AE10" s="72"/>
    </row>
    <row r="11" spans="1:31" s="59" customFormat="1" ht="18">
      <c r="A11" s="83"/>
      <c r="B11" s="74"/>
      <c r="C11" s="382"/>
      <c r="D11" s="382"/>
      <c r="E11" s="382"/>
      <c r="F11" s="73"/>
      <c r="G11" s="73"/>
      <c r="H11" s="73"/>
      <c r="I11" s="73"/>
      <c r="J11" s="73"/>
      <c r="K11" s="73"/>
      <c r="L11" s="85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85"/>
      <c r="AD11" s="71"/>
      <c r="AE11" s="72"/>
    </row>
    <row r="12" spans="1:31" s="59" customFormat="1" ht="18">
      <c r="A12" s="83"/>
      <c r="B12" s="74"/>
      <c r="C12" s="382"/>
      <c r="D12" s="382"/>
      <c r="E12" s="382"/>
      <c r="F12" s="73"/>
      <c r="G12" s="73"/>
      <c r="H12" s="73"/>
      <c r="I12" s="73"/>
      <c r="J12" s="73"/>
      <c r="K12" s="73"/>
      <c r="L12" s="85"/>
      <c r="M12" s="86"/>
      <c r="N12" s="86"/>
      <c r="O12" s="86"/>
      <c r="P12" s="86"/>
      <c r="Q12" s="86"/>
      <c r="R12" s="73">
        <v>1</v>
      </c>
      <c r="S12" s="84"/>
      <c r="T12" s="73">
        <v>2</v>
      </c>
      <c r="U12" s="84"/>
      <c r="V12" s="73">
        <v>3</v>
      </c>
      <c r="W12" s="84"/>
      <c r="X12" s="73">
        <v>4</v>
      </c>
      <c r="Y12" s="84"/>
      <c r="AC12" s="85"/>
      <c r="AD12" s="71"/>
      <c r="AE12" s="72"/>
    </row>
    <row r="13" spans="1:31" s="59" customFormat="1" ht="18">
      <c r="A13" s="83"/>
      <c r="B13" s="74"/>
      <c r="C13" s="382"/>
      <c r="D13" s="382"/>
      <c r="E13" s="382"/>
      <c r="F13" s="73"/>
      <c r="G13" s="73"/>
      <c r="H13" s="73"/>
      <c r="I13" s="73"/>
      <c r="J13" s="73"/>
      <c r="K13" s="73"/>
      <c r="L13" s="85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85"/>
      <c r="AD13" s="71"/>
      <c r="AE13" s="72"/>
    </row>
    <row r="14" spans="1:31" s="59" customFormat="1" ht="18">
      <c r="A14" s="83"/>
      <c r="B14" s="74"/>
      <c r="C14" s="382"/>
      <c r="D14" s="382"/>
      <c r="E14" s="382"/>
      <c r="F14" s="73"/>
      <c r="G14" s="73"/>
      <c r="H14" s="73"/>
      <c r="I14" s="73"/>
      <c r="J14" s="73"/>
      <c r="K14" s="73"/>
      <c r="L14" s="85"/>
      <c r="M14" s="86"/>
      <c r="N14" s="86"/>
      <c r="O14" s="86"/>
      <c r="P14" s="86"/>
      <c r="Q14" s="86"/>
      <c r="R14" s="73"/>
      <c r="S14" s="84"/>
      <c r="T14" s="73"/>
      <c r="U14" s="73"/>
      <c r="V14" s="73"/>
      <c r="W14" s="86"/>
      <c r="X14" s="86"/>
      <c r="Y14" s="86"/>
      <c r="Z14" s="87" t="s">
        <v>1508</v>
      </c>
      <c r="AA14" s="73"/>
      <c r="AB14" s="84" t="s">
        <v>4879</v>
      </c>
      <c r="AC14" s="85"/>
      <c r="AD14" s="71"/>
      <c r="AE14" s="72"/>
    </row>
    <row r="15" spans="1:31" s="59" customFormat="1" ht="18.75" thickBot="1">
      <c r="A15" s="88"/>
      <c r="B15" s="89"/>
      <c r="C15" s="383"/>
      <c r="D15" s="383"/>
      <c r="E15" s="383"/>
      <c r="F15" s="90"/>
      <c r="G15" s="90"/>
      <c r="H15" s="90"/>
      <c r="I15" s="90"/>
      <c r="J15" s="90"/>
      <c r="K15" s="90"/>
      <c r="L15" s="91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71"/>
      <c r="AE15" s="72"/>
    </row>
    <row r="16" spans="1:31" s="59" customFormat="1" ht="18">
      <c r="B16" s="74"/>
      <c r="C16" s="74"/>
      <c r="D16" s="74"/>
      <c r="E16" s="74"/>
      <c r="F16" s="382"/>
      <c r="G16" s="38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1"/>
      <c r="AE16" s="72"/>
    </row>
    <row r="17" spans="1:31" s="59" customFormat="1" ht="18.75" thickBot="1">
      <c r="B17" s="74"/>
      <c r="C17" s="74"/>
      <c r="D17" s="74"/>
      <c r="E17" s="74"/>
      <c r="F17" s="382"/>
      <c r="G17" s="38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1"/>
      <c r="AE17" s="72"/>
    </row>
    <row r="18" spans="1:31" s="59" customFormat="1" ht="15.95" customHeight="1" thickBot="1">
      <c r="A18" s="994" t="s">
        <v>1509</v>
      </c>
      <c r="B18" s="995"/>
      <c r="C18" s="995"/>
      <c r="D18" s="995"/>
      <c r="E18" s="995"/>
      <c r="F18" s="995"/>
      <c r="G18" s="995"/>
      <c r="H18" s="995"/>
      <c r="I18" s="995"/>
      <c r="J18" s="995"/>
      <c r="K18" s="995"/>
      <c r="L18" s="995"/>
      <c r="M18" s="995"/>
      <c r="N18" s="995"/>
      <c r="O18" s="995"/>
      <c r="P18" s="995"/>
      <c r="Q18" s="995"/>
      <c r="R18" s="995"/>
      <c r="S18" s="995"/>
      <c r="T18" s="995"/>
      <c r="U18" s="995"/>
      <c r="V18" s="995"/>
      <c r="W18" s="995"/>
      <c r="X18" s="995"/>
      <c r="Y18" s="995"/>
      <c r="Z18" s="995"/>
      <c r="AA18" s="995"/>
      <c r="AB18" s="995"/>
      <c r="AC18" s="996"/>
      <c r="AD18" s="71"/>
      <c r="AE18" s="72"/>
    </row>
    <row r="19" spans="1:31" s="59" customFormat="1" ht="18">
      <c r="A19" s="92"/>
      <c r="B19" s="93"/>
      <c r="C19" s="93"/>
      <c r="D19" s="93"/>
      <c r="E19" s="93"/>
      <c r="F19" s="384"/>
      <c r="G19" s="38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355"/>
      <c r="AD19" s="71"/>
      <c r="AE19" s="72"/>
    </row>
    <row r="20" spans="1:31" s="59" customFormat="1" ht="18">
      <c r="A20" s="95"/>
      <c r="B20" s="74"/>
      <c r="C20" s="74"/>
      <c r="D20" s="74"/>
      <c r="E20" s="74"/>
      <c r="F20" s="382"/>
      <c r="G20" s="382"/>
      <c r="H20" s="73"/>
      <c r="I20" s="73"/>
      <c r="J20" s="87"/>
      <c r="K20" s="87" t="s">
        <v>3194</v>
      </c>
      <c r="L20" s="84"/>
      <c r="M20" s="84"/>
      <c r="N20" s="72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85"/>
      <c r="AD20" s="71"/>
      <c r="AE20" s="72"/>
    </row>
    <row r="21" spans="1:31" s="59" customFormat="1" ht="18.75" thickBot="1">
      <c r="A21" s="96"/>
      <c r="B21" s="89"/>
      <c r="C21" s="89"/>
      <c r="D21" s="89"/>
      <c r="E21" s="89"/>
      <c r="F21" s="383"/>
      <c r="G21" s="383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71"/>
      <c r="AE21" s="72"/>
    </row>
    <row r="22" spans="1:31" s="59" customFormat="1" ht="18">
      <c r="A22" s="73"/>
      <c r="B22" s="74"/>
      <c r="C22" s="74"/>
      <c r="D22" s="74"/>
      <c r="E22" s="74"/>
      <c r="F22" s="382"/>
      <c r="G22" s="38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1"/>
      <c r="AE22" s="72"/>
    </row>
    <row r="23" spans="1:31" s="385" customFormat="1" ht="22.5" customHeight="1" thickBot="1">
      <c r="A23" s="97"/>
      <c r="B23" s="98"/>
      <c r="C23" s="98"/>
      <c r="D23" s="997" t="s">
        <v>3461</v>
      </c>
      <c r="E23" s="997"/>
      <c r="G23" s="382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Z23" s="386"/>
      <c r="AA23" s="386"/>
      <c r="AB23" s="386"/>
      <c r="AC23" s="386"/>
      <c r="AD23" s="387"/>
      <c r="AE23" s="99"/>
    </row>
    <row r="24" spans="1:31" s="250" customFormat="1" ht="66" customHeight="1" thickBot="1">
      <c r="A24" s="211" t="s">
        <v>1510</v>
      </c>
      <c r="B24" s="100" t="s">
        <v>1511</v>
      </c>
      <c r="C24" s="317" t="s">
        <v>1512</v>
      </c>
      <c r="D24" s="248" t="s">
        <v>3525</v>
      </c>
      <c r="E24" s="248" t="s">
        <v>3526</v>
      </c>
      <c r="F24" s="102"/>
      <c r="G24" s="249"/>
      <c r="H24" s="101"/>
      <c r="I24" s="101"/>
      <c r="J24" s="101"/>
      <c r="K24" s="101"/>
      <c r="L24" s="101"/>
      <c r="M24" s="101"/>
      <c r="N24"/>
      <c r="O24"/>
      <c r="P24"/>
      <c r="Q24"/>
      <c r="R24"/>
      <c r="S24"/>
      <c r="T24"/>
      <c r="U24"/>
      <c r="V24"/>
      <c r="W24"/>
      <c r="X24"/>
      <c r="Y24" s="102"/>
      <c r="Z24" s="102"/>
      <c r="AB24" s="251"/>
    </row>
    <row r="25" spans="1:31" ht="18.75">
      <c r="A25" s="212"/>
      <c r="B25" s="132"/>
      <c r="C25" s="133" t="s">
        <v>2112</v>
      </c>
      <c r="D25" s="134"/>
      <c r="E25" s="134"/>
      <c r="F25" s="71"/>
      <c r="G25" s="222"/>
    </row>
    <row r="26" spans="1:31" ht="18.75">
      <c r="A26" s="213"/>
      <c r="B26" s="135" t="s">
        <v>1513</v>
      </c>
      <c r="C26" s="136" t="s">
        <v>1514</v>
      </c>
      <c r="D26" s="137">
        <f t="shared" ref="D26" si="0">(D27+D36+D51+D56)</f>
        <v>48323038.210000001</v>
      </c>
      <c r="E26" s="137">
        <f t="shared" ref="E26" si="1">(E27+E36+E51+E56)</f>
        <v>44719575.439999998</v>
      </c>
      <c r="F26" s="71" t="s">
        <v>2118</v>
      </c>
      <c r="G26" s="222"/>
      <c r="J26" s="103"/>
    </row>
    <row r="27" spans="1:31" ht="25.5">
      <c r="A27" s="214"/>
      <c r="B27" s="130" t="s">
        <v>1515</v>
      </c>
      <c r="C27" s="131" t="s">
        <v>1516</v>
      </c>
      <c r="D27" s="129">
        <f t="shared" ref="D27" si="2">+D28+D35</f>
        <v>30400395.57</v>
      </c>
      <c r="E27" s="129">
        <f t="shared" ref="E27" si="3">+E28+E35</f>
        <v>27074637.73</v>
      </c>
      <c r="F27" s="71" t="s">
        <v>2118</v>
      </c>
      <c r="G27" s="222"/>
      <c r="H27" s="107"/>
      <c r="J27" s="103"/>
    </row>
    <row r="28" spans="1:31" ht="25.5">
      <c r="A28" s="213"/>
      <c r="B28" s="141" t="s">
        <v>131</v>
      </c>
      <c r="C28" s="142" t="s">
        <v>1517</v>
      </c>
      <c r="D28" s="143">
        <f t="shared" ref="D28" si="4">+D29+D30+D31+D34</f>
        <v>30400395.57</v>
      </c>
      <c r="E28" s="143">
        <f t="shared" ref="E28" si="5">+E29+E30+E31+E34</f>
        <v>27074637.73</v>
      </c>
      <c r="F28" s="71" t="s">
        <v>2118</v>
      </c>
      <c r="G28" s="222"/>
      <c r="H28" s="107"/>
      <c r="J28" s="103"/>
    </row>
    <row r="29" spans="1:31" ht="18.75">
      <c r="A29" s="213"/>
      <c r="B29" s="112" t="s">
        <v>132</v>
      </c>
      <c r="C29" s="113" t="s">
        <v>1518</v>
      </c>
      <c r="D29" s="106">
        <f>'Alimentazione CE Ricavi'!K6</f>
        <v>17232277.010000002</v>
      </c>
      <c r="E29" s="106">
        <f>'Alimentazione CE Ricavi'!N6</f>
        <v>14488784.33</v>
      </c>
      <c r="F29" s="71"/>
      <c r="G29" s="222"/>
      <c r="H29" s="107"/>
      <c r="J29" s="103"/>
    </row>
    <row r="30" spans="1:31" ht="18.75">
      <c r="A30" s="213"/>
      <c r="B30" s="112" t="s">
        <v>134</v>
      </c>
      <c r="C30" s="113" t="s">
        <v>1519</v>
      </c>
      <c r="D30" s="106">
        <f>'Alimentazione CE Ricavi'!K7</f>
        <v>5531254.5599999996</v>
      </c>
      <c r="E30" s="106">
        <f>'Alimentazione CE Ricavi'!N7</f>
        <v>5171055.4000000004</v>
      </c>
      <c r="F30" s="71"/>
      <c r="G30" s="222"/>
      <c r="H30" s="107"/>
      <c r="J30" s="103"/>
    </row>
    <row r="31" spans="1:31" ht="18.75">
      <c r="A31" s="213"/>
      <c r="B31" s="144" t="s">
        <v>135</v>
      </c>
      <c r="C31" s="145" t="s">
        <v>1520</v>
      </c>
      <c r="D31" s="146">
        <f t="shared" ref="D31" si="6">+D32+D33</f>
        <v>7636864</v>
      </c>
      <c r="E31" s="146">
        <f t="shared" ref="E31" si="7">+E32+E33</f>
        <v>7414798</v>
      </c>
      <c r="F31" s="71" t="s">
        <v>2118</v>
      </c>
      <c r="G31" s="222"/>
      <c r="H31" s="107"/>
      <c r="J31" s="103"/>
    </row>
    <row r="32" spans="1:31" ht="18.75">
      <c r="A32" s="213"/>
      <c r="B32" s="114" t="s">
        <v>137</v>
      </c>
      <c r="C32" s="115" t="s">
        <v>1521</v>
      </c>
      <c r="D32" s="106">
        <f>'Alimentazione CE Ricavi'!K9</f>
        <v>2328685</v>
      </c>
      <c r="E32" s="106">
        <f>'Alimentazione CE Ricavi'!N9</f>
        <v>2328685</v>
      </c>
      <c r="F32" s="71"/>
      <c r="G32" s="222"/>
      <c r="H32" s="107"/>
      <c r="J32" s="103"/>
    </row>
    <row r="33" spans="1:10" ht="18.75">
      <c r="A33" s="213"/>
      <c r="B33" s="114" t="s">
        <v>139</v>
      </c>
      <c r="C33" s="115" t="s">
        <v>1522</v>
      </c>
      <c r="D33" s="106">
        <f>'Alimentazione CE Ricavi'!K10</f>
        <v>5308179</v>
      </c>
      <c r="E33" s="106">
        <f>'Alimentazione CE Ricavi'!N10</f>
        <v>5086113</v>
      </c>
      <c r="F33" s="71"/>
      <c r="G33" s="222"/>
      <c r="H33" s="107"/>
      <c r="J33" s="103"/>
    </row>
    <row r="34" spans="1:10" ht="25.5">
      <c r="A34" s="213"/>
      <c r="B34" s="112" t="s">
        <v>141</v>
      </c>
      <c r="C34" s="113" t="s">
        <v>1523</v>
      </c>
      <c r="D34" s="106">
        <f>'Alimentazione CE Ricavi'!K11</f>
        <v>0</v>
      </c>
      <c r="E34" s="106">
        <f>'Alimentazione CE Ricavi'!N11</f>
        <v>0</v>
      </c>
      <c r="F34" s="71"/>
      <c r="G34" s="222"/>
      <c r="H34" s="107"/>
      <c r="J34" s="103"/>
    </row>
    <row r="35" spans="1:10" ht="25.5">
      <c r="A35" s="213"/>
      <c r="B35" s="141" t="s">
        <v>143</v>
      </c>
      <c r="C35" s="142" t="s">
        <v>1524</v>
      </c>
      <c r="D35" s="143">
        <f>+'Alimentazione CE Ricavi'!K13</f>
        <v>0</v>
      </c>
      <c r="E35" s="143">
        <f>+'Alimentazione CE Ricavi'!N13</f>
        <v>0</v>
      </c>
      <c r="F35" s="71"/>
      <c r="G35" s="222"/>
      <c r="H35" s="107"/>
      <c r="J35" s="103"/>
    </row>
    <row r="36" spans="1:10" ht="18.75">
      <c r="A36" s="213"/>
      <c r="B36" s="130" t="s">
        <v>146</v>
      </c>
      <c r="C36" s="131" t="s">
        <v>1525</v>
      </c>
      <c r="D36" s="129">
        <f t="shared" ref="D36" si="8">+D37+D42+D45</f>
        <v>1932171.21</v>
      </c>
      <c r="E36" s="129">
        <f t="shared" ref="E36" si="9">+E37+E42+E45</f>
        <v>10944356.489999998</v>
      </c>
      <c r="F36" s="71" t="s">
        <v>2118</v>
      </c>
      <c r="G36" s="222"/>
      <c r="H36" s="107"/>
      <c r="J36" s="103"/>
    </row>
    <row r="37" spans="1:10" ht="18.75">
      <c r="A37" s="213"/>
      <c r="B37" s="141" t="s">
        <v>148</v>
      </c>
      <c r="C37" s="142" t="s">
        <v>1526</v>
      </c>
      <c r="D37" s="143">
        <f t="shared" ref="D37" si="10">+D38+D39+D40+D41</f>
        <v>696335</v>
      </c>
      <c r="E37" s="143">
        <f t="shared" ref="E37" si="11">+E38+E39+E40+E41</f>
        <v>9736968.7899999991</v>
      </c>
      <c r="F37" s="71" t="s">
        <v>2118</v>
      </c>
      <c r="G37" s="222"/>
      <c r="H37" s="107"/>
      <c r="J37" s="103"/>
    </row>
    <row r="38" spans="1:10" ht="25.5">
      <c r="A38" s="213"/>
      <c r="B38" s="112" t="s">
        <v>150</v>
      </c>
      <c r="C38" s="113" t="s">
        <v>1527</v>
      </c>
      <c r="D38" s="106">
        <f>+'Alimentazione CE Ricavi'!K17+'Alimentazione CE Ricavi'!K18+'Alimentazione CE Ricavi'!K19+'Alimentazione CE Ricavi'!K20+'Alimentazione CE Ricavi'!K21+'Alimentazione CE Ricavi'!K22</f>
        <v>265585</v>
      </c>
      <c r="E38" s="106">
        <f>+'Alimentazione CE Ricavi'!N17+'Alimentazione CE Ricavi'!N18+'Alimentazione CE Ricavi'!N19+'Alimentazione CE Ricavi'!N20+'Alimentazione CE Ricavi'!N21+'Alimentazione CE Ricavi'!N22</f>
        <v>9736968.7899999991</v>
      </c>
      <c r="F38" s="71"/>
      <c r="G38" s="222"/>
      <c r="H38" s="107"/>
      <c r="J38" s="103"/>
    </row>
    <row r="39" spans="1:10" ht="38.25">
      <c r="A39" s="213"/>
      <c r="B39" s="112" t="s">
        <v>157</v>
      </c>
      <c r="C39" s="113" t="s">
        <v>2119</v>
      </c>
      <c r="D39" s="106">
        <f>+'Alimentazione CE Ricavi'!K23</f>
        <v>0</v>
      </c>
      <c r="E39" s="106">
        <f>+'Alimentazione CE Ricavi'!N23</f>
        <v>0</v>
      </c>
      <c r="F39" s="71"/>
      <c r="G39" s="222"/>
      <c r="H39" s="107"/>
      <c r="J39" s="103"/>
    </row>
    <row r="40" spans="1:10" ht="38.25">
      <c r="A40" s="213"/>
      <c r="B40" s="112" t="s">
        <v>158</v>
      </c>
      <c r="C40" s="113" t="s">
        <v>2120</v>
      </c>
      <c r="D40" s="106">
        <f>+'Alimentazione CE Ricavi'!K24</f>
        <v>430750</v>
      </c>
      <c r="E40" s="106">
        <f>+'Alimentazione CE Ricavi'!N24</f>
        <v>0</v>
      </c>
      <c r="F40" s="71"/>
      <c r="G40" s="222"/>
      <c r="H40" s="107"/>
      <c r="J40" s="103"/>
    </row>
    <row r="41" spans="1:10" ht="25.5">
      <c r="A41" s="213"/>
      <c r="B41" s="112" t="s">
        <v>160</v>
      </c>
      <c r="C41" s="113" t="s">
        <v>1528</v>
      </c>
      <c r="D41" s="106">
        <f>+'Alimentazione CE Ricavi'!K25</f>
        <v>0</v>
      </c>
      <c r="E41" s="106">
        <f>+'Alimentazione CE Ricavi'!N25</f>
        <v>0</v>
      </c>
      <c r="F41" s="71"/>
      <c r="G41" s="222"/>
      <c r="H41" s="107"/>
      <c r="J41" s="103"/>
    </row>
    <row r="42" spans="1:10" ht="25.5">
      <c r="A42" s="213"/>
      <c r="B42" s="141" t="s">
        <v>162</v>
      </c>
      <c r="C42" s="142" t="s">
        <v>1529</v>
      </c>
      <c r="D42" s="143">
        <f t="shared" ref="D42" si="12">+D43+D44</f>
        <v>0</v>
      </c>
      <c r="E42" s="143">
        <f t="shared" ref="E42" si="13">+E43+E44</f>
        <v>33578.57</v>
      </c>
      <c r="F42" s="71" t="s">
        <v>2118</v>
      </c>
      <c r="G42" s="222"/>
      <c r="H42" s="107"/>
      <c r="J42" s="103"/>
    </row>
    <row r="43" spans="1:10" ht="25.5">
      <c r="A43" s="213" t="s">
        <v>1530</v>
      </c>
      <c r="B43" s="112" t="s">
        <v>164</v>
      </c>
      <c r="C43" s="113" t="s">
        <v>1531</v>
      </c>
      <c r="D43" s="106">
        <f>+'Alimentazione CE Ricavi'!K27</f>
        <v>0</v>
      </c>
      <c r="E43" s="106">
        <f>+'Alimentazione CE Ricavi'!N27</f>
        <v>33578.57</v>
      </c>
      <c r="F43" s="71"/>
      <c r="G43" s="222"/>
      <c r="H43" s="107"/>
      <c r="J43" s="103"/>
    </row>
    <row r="44" spans="1:10" ht="25.5">
      <c r="A44" s="213" t="s">
        <v>1530</v>
      </c>
      <c r="B44" s="112" t="s">
        <v>166</v>
      </c>
      <c r="C44" s="113" t="s">
        <v>1532</v>
      </c>
      <c r="D44" s="106">
        <f>+'Alimentazione CE Ricavi'!K28</f>
        <v>0</v>
      </c>
      <c r="E44" s="106">
        <f>+'Alimentazione CE Ricavi'!N28</f>
        <v>0</v>
      </c>
      <c r="F44" s="71"/>
      <c r="G44" s="222"/>
      <c r="H44" s="107"/>
      <c r="J44" s="103"/>
    </row>
    <row r="45" spans="1:10" ht="25.5">
      <c r="A45" s="215"/>
      <c r="B45" s="141" t="s">
        <v>168</v>
      </c>
      <c r="C45" s="142" t="s">
        <v>1533</v>
      </c>
      <c r="D45" s="143">
        <f t="shared" ref="D45" si="14">+D46+D47+D48+D49+D50</f>
        <v>1235836.21</v>
      </c>
      <c r="E45" s="143">
        <f t="shared" ref="E45" si="15">+E46+E47+E48+E49+E50</f>
        <v>1173809.1299999999</v>
      </c>
      <c r="F45" s="71" t="s">
        <v>2118</v>
      </c>
      <c r="G45" s="222"/>
      <c r="H45" s="107"/>
      <c r="J45" s="103"/>
    </row>
    <row r="46" spans="1:10" ht="18.75">
      <c r="A46" s="215"/>
      <c r="B46" s="112" t="s">
        <v>170</v>
      </c>
      <c r="C46" s="113" t="s">
        <v>1534</v>
      </c>
      <c r="D46" s="106">
        <f>+'Alimentazione CE Ricavi'!K30</f>
        <v>758266.86</v>
      </c>
      <c r="E46" s="106">
        <f>+'Alimentazione CE Ricavi'!N30</f>
        <v>895214.73</v>
      </c>
      <c r="F46" s="356"/>
      <c r="G46" s="222"/>
      <c r="H46" s="107"/>
      <c r="J46" s="103"/>
    </row>
    <row r="47" spans="1:10" ht="25.5">
      <c r="A47" s="215"/>
      <c r="B47" s="112" t="s">
        <v>172</v>
      </c>
      <c r="C47" s="113" t="s">
        <v>1535</v>
      </c>
      <c r="D47" s="106">
        <f>+'Alimentazione CE Ricavi'!K32+'Alimentazione CE Ricavi'!K33+'Alimentazione CE Ricavi'!K34+'Alimentazione CE Ricavi'!K35+'Alimentazione CE Ricavi'!K36+'Alimentazione CE Ricavi'!K37</f>
        <v>477569.35</v>
      </c>
      <c r="E47" s="106">
        <f>+'Alimentazione CE Ricavi'!N32+'Alimentazione CE Ricavi'!N33+'Alimentazione CE Ricavi'!N34+'Alimentazione CE Ricavi'!N35+'Alimentazione CE Ricavi'!N36+'Alimentazione CE Ricavi'!N37</f>
        <v>278594.40000000002</v>
      </c>
      <c r="F47" s="356"/>
      <c r="G47" s="222"/>
      <c r="H47" s="107"/>
      <c r="J47" s="103"/>
    </row>
    <row r="48" spans="1:10" ht="25.5">
      <c r="A48" s="215"/>
      <c r="B48" s="112" t="s">
        <v>180</v>
      </c>
      <c r="C48" s="113" t="s">
        <v>1536</v>
      </c>
      <c r="D48" s="106">
        <f>+'Alimentazione CE Ricavi'!K38</f>
        <v>0</v>
      </c>
      <c r="E48" s="106">
        <f>+'Alimentazione CE Ricavi'!N38</f>
        <v>0</v>
      </c>
      <c r="F48" s="356"/>
      <c r="G48" s="222"/>
      <c r="H48" s="107"/>
      <c r="J48" s="103"/>
    </row>
    <row r="49" spans="1:10" ht="25.5">
      <c r="A49" s="215"/>
      <c r="B49" s="112" t="s">
        <v>182</v>
      </c>
      <c r="C49" s="113" t="s">
        <v>1537</v>
      </c>
      <c r="D49" s="106">
        <f>+'Alimentazione CE Ricavi'!K39</f>
        <v>0</v>
      </c>
      <c r="E49" s="106">
        <f>+'Alimentazione CE Ricavi'!N39</f>
        <v>0</v>
      </c>
      <c r="F49" s="356"/>
      <c r="G49" s="222"/>
      <c r="H49" s="107"/>
      <c r="J49" s="103"/>
    </row>
    <row r="50" spans="1:10" ht="51">
      <c r="A50" s="215"/>
      <c r="B50" s="112" t="s">
        <v>184</v>
      </c>
      <c r="C50" s="113" t="s">
        <v>1538</v>
      </c>
      <c r="D50" s="106">
        <f>+'Alimentazione CE Ricavi'!K40</f>
        <v>0</v>
      </c>
      <c r="E50" s="106">
        <f>+'Alimentazione CE Ricavi'!N40</f>
        <v>0</v>
      </c>
      <c r="F50" s="356"/>
      <c r="G50" s="222"/>
      <c r="H50" s="107"/>
      <c r="J50" s="103"/>
    </row>
    <row r="51" spans="1:10" ht="18.75">
      <c r="A51" s="213"/>
      <c r="B51" s="130" t="s">
        <v>186</v>
      </c>
      <c r="C51" s="131" t="s">
        <v>1539</v>
      </c>
      <c r="D51" s="129">
        <f t="shared" ref="D51" si="16">+D52+D53+D54+D55</f>
        <v>15888378.330000002</v>
      </c>
      <c r="E51" s="129">
        <f t="shared" ref="E51" si="17">+E52+E53+E54+E55</f>
        <v>6667461.2199999988</v>
      </c>
      <c r="F51" s="71" t="s">
        <v>2118</v>
      </c>
      <c r="G51" s="222"/>
      <c r="H51" s="107"/>
      <c r="J51" s="103"/>
    </row>
    <row r="52" spans="1:10" ht="25.5">
      <c r="A52" s="213"/>
      <c r="B52" s="110" t="s">
        <v>188</v>
      </c>
      <c r="C52" s="111" t="s">
        <v>1540</v>
      </c>
      <c r="D52" s="106">
        <f>+'Alimentazione CE Ricavi'!K42</f>
        <v>3546081.76</v>
      </c>
      <c r="E52" s="106">
        <f>+'Alimentazione CE Ricavi'!N42</f>
        <v>3759035.78</v>
      </c>
      <c r="F52" s="71"/>
      <c r="G52" s="222"/>
      <c r="H52" s="107"/>
      <c r="J52" s="103"/>
    </row>
    <row r="53" spans="1:10" ht="25.5">
      <c r="A53" s="213"/>
      <c r="B53" s="110" t="s">
        <v>190</v>
      </c>
      <c r="C53" s="111" t="s">
        <v>1541</v>
      </c>
      <c r="D53" s="106">
        <f>+'Alimentazione CE Ricavi'!K43</f>
        <v>1573674.45</v>
      </c>
      <c r="E53" s="106">
        <f>+'Alimentazione CE Ricavi'!N43</f>
        <v>632912</v>
      </c>
      <c r="F53" s="71"/>
      <c r="G53" s="222"/>
      <c r="H53" s="107"/>
      <c r="J53" s="103"/>
    </row>
    <row r="54" spans="1:10" ht="25.5">
      <c r="A54" s="213"/>
      <c r="B54" s="110" t="s">
        <v>192</v>
      </c>
      <c r="C54" s="111" t="s">
        <v>1542</v>
      </c>
      <c r="D54" s="106">
        <f>+'Alimentazione CE Ricavi'!K45+'Alimentazione CE Ricavi'!K46</f>
        <v>9343898</v>
      </c>
      <c r="E54" s="106">
        <f>+'Alimentazione CE Ricavi'!N45+'Alimentazione CE Ricavi'!N46</f>
        <v>2199455.84</v>
      </c>
      <c r="F54" s="71"/>
      <c r="G54" s="222"/>
      <c r="H54" s="107"/>
      <c r="J54" s="103"/>
    </row>
    <row r="55" spans="1:10" ht="18.75">
      <c r="A55" s="213"/>
      <c r="B55" s="110" t="s">
        <v>196</v>
      </c>
      <c r="C55" s="111" t="s">
        <v>1543</v>
      </c>
      <c r="D55" s="106">
        <f>+'Alimentazione CE Ricavi'!K47</f>
        <v>1424724.12</v>
      </c>
      <c r="E55" s="106">
        <f>+'Alimentazione CE Ricavi'!N47</f>
        <v>76057.600000000006</v>
      </c>
      <c r="F55" s="71"/>
      <c r="G55" s="222"/>
      <c r="H55" s="107"/>
      <c r="J55" s="103"/>
    </row>
    <row r="56" spans="1:10" ht="18.75">
      <c r="A56" s="213"/>
      <c r="B56" s="130" t="s">
        <v>198</v>
      </c>
      <c r="C56" s="131" t="s">
        <v>1544</v>
      </c>
      <c r="D56" s="129">
        <f>+'Alimentazione CE Ricavi'!K48</f>
        <v>102093.1</v>
      </c>
      <c r="E56" s="129">
        <f>+'Alimentazione CE Ricavi'!N48</f>
        <v>33120</v>
      </c>
      <c r="F56" s="71"/>
      <c r="G56" s="222"/>
      <c r="H56" s="107"/>
      <c r="J56" s="103"/>
    </row>
    <row r="57" spans="1:10" ht="25.5">
      <c r="A57" s="213"/>
      <c r="B57" s="135" t="s">
        <v>200</v>
      </c>
      <c r="C57" s="136" t="s">
        <v>1545</v>
      </c>
      <c r="D57" s="137">
        <f t="shared" ref="D57" si="18">+D58+D59</f>
        <v>-130953.17</v>
      </c>
      <c r="E57" s="137">
        <f t="shared" ref="E57" si="19">+E58+E59</f>
        <v>-43375.91</v>
      </c>
      <c r="F57" s="71" t="s">
        <v>2118</v>
      </c>
      <c r="G57" s="222"/>
      <c r="H57" s="107"/>
      <c r="J57" s="103"/>
    </row>
    <row r="58" spans="1:10" ht="38.25">
      <c r="A58" s="213"/>
      <c r="B58" s="108" t="s">
        <v>202</v>
      </c>
      <c r="C58" s="109" t="s">
        <v>1546</v>
      </c>
      <c r="D58" s="106">
        <f>+'Alimentazione CE Ricavi'!K50</f>
        <v>-50039.92</v>
      </c>
      <c r="E58" s="106">
        <f>+'Alimentazione CE Ricavi'!N50</f>
        <v>-43375.91</v>
      </c>
      <c r="F58" s="71"/>
      <c r="G58" s="222"/>
      <c r="H58" s="107"/>
      <c r="J58" s="103"/>
    </row>
    <row r="59" spans="1:10" ht="25.5">
      <c r="A59" s="213"/>
      <c r="B59" s="108" t="s">
        <v>204</v>
      </c>
      <c r="C59" s="109" t="s">
        <v>1547</v>
      </c>
      <c r="D59" s="106">
        <f>+'Alimentazione CE Ricavi'!K51</f>
        <v>-80913.25</v>
      </c>
      <c r="E59" s="106">
        <f>+'Alimentazione CE Ricavi'!N51</f>
        <v>0</v>
      </c>
      <c r="F59" s="71"/>
      <c r="G59" s="222"/>
      <c r="H59" s="107"/>
      <c r="J59" s="103"/>
    </row>
    <row r="60" spans="1:10" ht="25.5">
      <c r="A60" s="215"/>
      <c r="B60" s="135" t="s">
        <v>206</v>
      </c>
      <c r="C60" s="136" t="s">
        <v>1548</v>
      </c>
      <c r="D60" s="137">
        <f t="shared" ref="D60" si="20">+D61+D62+D63+D64+D65</f>
        <v>7519995.6199999992</v>
      </c>
      <c r="E60" s="137">
        <f t="shared" ref="E60" si="21">+E61+E62+E63+E64+E65</f>
        <v>9231984.3000000007</v>
      </c>
      <c r="F60" s="71" t="s">
        <v>2118</v>
      </c>
      <c r="G60" s="222"/>
      <c r="H60" s="107"/>
      <c r="J60" s="103"/>
    </row>
    <row r="61" spans="1:10" ht="38.25">
      <c r="A61" s="215"/>
      <c r="B61" s="108" t="s">
        <v>208</v>
      </c>
      <c r="C61" s="109" t="s">
        <v>1549</v>
      </c>
      <c r="D61" s="106">
        <f>+'Alimentazione CE Ricavi'!K53</f>
        <v>0</v>
      </c>
      <c r="E61" s="106">
        <f>+'Alimentazione CE Ricavi'!N53</f>
        <v>1831693</v>
      </c>
      <c r="F61" s="356"/>
      <c r="G61" s="222"/>
      <c r="H61" s="107"/>
      <c r="J61" s="103"/>
    </row>
    <row r="62" spans="1:10" ht="38.25">
      <c r="A62" s="215"/>
      <c r="B62" s="108" t="s">
        <v>210</v>
      </c>
      <c r="C62" s="109" t="s">
        <v>1550</v>
      </c>
      <c r="D62" s="106">
        <f>+'Alimentazione CE Ricavi'!K54</f>
        <v>0</v>
      </c>
      <c r="E62" s="106">
        <f>+'Alimentazione CE Ricavi'!N54</f>
        <v>22412</v>
      </c>
      <c r="F62" s="356"/>
      <c r="G62" s="222"/>
      <c r="H62" s="107"/>
      <c r="J62" s="103"/>
    </row>
    <row r="63" spans="1:10" ht="38.25">
      <c r="A63" s="215"/>
      <c r="B63" s="108" t="s">
        <v>212</v>
      </c>
      <c r="C63" s="109" t="s">
        <v>1551</v>
      </c>
      <c r="D63" s="106">
        <f>+'Alimentazione CE Ricavi'!K55</f>
        <v>903452.14</v>
      </c>
      <c r="E63" s="106">
        <f>+'Alimentazione CE Ricavi'!N55</f>
        <v>2277048.14</v>
      </c>
      <c r="F63" s="356"/>
      <c r="G63" s="222"/>
      <c r="H63" s="107"/>
      <c r="J63" s="103"/>
    </row>
    <row r="64" spans="1:10" ht="25.5">
      <c r="A64" s="215"/>
      <c r="B64" s="108" t="s">
        <v>214</v>
      </c>
      <c r="C64" s="109" t="s">
        <v>1552</v>
      </c>
      <c r="D64" s="106">
        <f>+'Alimentazione CE Ricavi'!K56</f>
        <v>4500093.83</v>
      </c>
      <c r="E64" s="106">
        <f>+'Alimentazione CE Ricavi'!N56</f>
        <v>4977779.3600000003</v>
      </c>
      <c r="F64" s="356"/>
      <c r="G64" s="222"/>
      <c r="H64" s="107"/>
      <c r="J64" s="103"/>
    </row>
    <row r="65" spans="1:10" ht="25.5">
      <c r="A65" s="215"/>
      <c r="B65" s="108" t="s">
        <v>216</v>
      </c>
      <c r="C65" s="109" t="s">
        <v>1553</v>
      </c>
      <c r="D65" s="106">
        <f>+'Alimentazione CE Ricavi'!K57</f>
        <v>2116449.65</v>
      </c>
      <c r="E65" s="106">
        <f>+'Alimentazione CE Ricavi'!N57</f>
        <v>123051.8</v>
      </c>
      <c r="F65" s="356"/>
      <c r="G65" s="222"/>
      <c r="H65" s="107"/>
      <c r="J65" s="103"/>
    </row>
    <row r="66" spans="1:10" ht="25.5">
      <c r="A66" s="213"/>
      <c r="B66" s="135" t="s">
        <v>1554</v>
      </c>
      <c r="C66" s="136" t="s">
        <v>1555</v>
      </c>
      <c r="D66" s="137">
        <f t="shared" ref="D66" si="22">+D67+D106+D112+D113</f>
        <v>35587676.879999995</v>
      </c>
      <c r="E66" s="137">
        <f t="shared" ref="E66" si="23">+E67+E106+E112+E113</f>
        <v>35756047.339999996</v>
      </c>
      <c r="F66" s="71" t="s">
        <v>2118</v>
      </c>
      <c r="G66" s="222"/>
      <c r="H66" s="107"/>
      <c r="J66" s="103"/>
    </row>
    <row r="67" spans="1:10" ht="38.25">
      <c r="A67" s="213"/>
      <c r="B67" s="130" t="s">
        <v>219</v>
      </c>
      <c r="C67" s="131" t="s">
        <v>1556</v>
      </c>
      <c r="D67" s="129">
        <f t="shared" ref="D67" si="24">+D68+D84+D85</f>
        <v>33423677.879999995</v>
      </c>
      <c r="E67" s="129">
        <f t="shared" ref="E67" si="25">+E68+E84+E85</f>
        <v>33644228.009999998</v>
      </c>
      <c r="F67" s="71" t="s">
        <v>2118</v>
      </c>
      <c r="G67" s="222"/>
      <c r="H67" s="107"/>
      <c r="J67" s="103"/>
    </row>
    <row r="68" spans="1:10" ht="38.25">
      <c r="A68" s="213" t="s">
        <v>1530</v>
      </c>
      <c r="B68" s="141" t="s">
        <v>221</v>
      </c>
      <c r="C68" s="142" t="s">
        <v>1557</v>
      </c>
      <c r="D68" s="143">
        <f t="shared" ref="D68" si="26">SUM(D69:D83)</f>
        <v>27744963.119999997</v>
      </c>
      <c r="E68" s="143">
        <f t="shared" ref="E68" si="27">SUM(E69:E83)</f>
        <v>27798485.689999998</v>
      </c>
      <c r="F68" s="71" t="s">
        <v>2118</v>
      </c>
      <c r="G68" s="222"/>
      <c r="H68" s="107"/>
      <c r="J68" s="103"/>
    </row>
    <row r="69" spans="1:10" ht="18.75">
      <c r="A69" s="213" t="s">
        <v>1530</v>
      </c>
      <c r="B69" s="112" t="s">
        <v>223</v>
      </c>
      <c r="C69" s="113" t="s">
        <v>1558</v>
      </c>
      <c r="D69" s="106">
        <f>+'Alimentazione CE Ricavi'!K62+'Alimentazione CE Ricavi'!K63</f>
        <v>18625454.129999999</v>
      </c>
      <c r="E69" s="106">
        <f>+'Alimentazione CE Ricavi'!N62+'Alimentazione CE Ricavi'!N63</f>
        <v>19504539.879999999</v>
      </c>
      <c r="F69" s="71"/>
      <c r="G69" s="222"/>
      <c r="H69" s="107"/>
      <c r="J69" s="103"/>
    </row>
    <row r="70" spans="1:10" ht="18.75">
      <c r="A70" s="215" t="s">
        <v>1530</v>
      </c>
      <c r="B70" s="112" t="s">
        <v>227</v>
      </c>
      <c r="C70" s="113" t="s">
        <v>1559</v>
      </c>
      <c r="D70" s="106">
        <f>+'Alimentazione CE Ricavi'!K65+'Alimentazione CE Ricavi'!K66</f>
        <v>8263172.9500000002</v>
      </c>
      <c r="E70" s="106">
        <f>+'Alimentazione CE Ricavi'!N65+'Alimentazione CE Ricavi'!N66</f>
        <v>7599148.9900000002</v>
      </c>
      <c r="F70" s="356"/>
      <c r="G70" s="222"/>
      <c r="H70" s="107"/>
      <c r="J70" s="103"/>
    </row>
    <row r="71" spans="1:10" ht="25.5">
      <c r="A71" s="215" t="s">
        <v>1530</v>
      </c>
      <c r="B71" s="112" t="s">
        <v>230</v>
      </c>
      <c r="C71" s="113" t="s">
        <v>1560</v>
      </c>
      <c r="D71" s="106">
        <f>+'Alimentazione CE Ricavi'!K67</f>
        <v>0</v>
      </c>
      <c r="E71" s="106">
        <f>+'Alimentazione CE Ricavi'!N67</f>
        <v>0</v>
      </c>
      <c r="F71" s="356"/>
      <c r="G71" s="222"/>
      <c r="H71" s="107"/>
      <c r="J71" s="103"/>
    </row>
    <row r="72" spans="1:10" ht="25.5">
      <c r="A72" s="215" t="s">
        <v>1530</v>
      </c>
      <c r="B72" s="112" t="s">
        <v>232</v>
      </c>
      <c r="C72" s="113" t="s">
        <v>1561</v>
      </c>
      <c r="D72" s="106">
        <f>+'Alimentazione CE Ricavi'!K68</f>
        <v>0</v>
      </c>
      <c r="E72" s="106">
        <f>+'Alimentazione CE Ricavi'!N68</f>
        <v>0</v>
      </c>
      <c r="F72" s="356"/>
      <c r="G72" s="222"/>
      <c r="H72" s="107"/>
      <c r="J72" s="103"/>
    </row>
    <row r="73" spans="1:10" ht="18.75">
      <c r="A73" s="215" t="s">
        <v>1530</v>
      </c>
      <c r="B73" s="112" t="s">
        <v>234</v>
      </c>
      <c r="C73" s="113" t="s">
        <v>1562</v>
      </c>
      <c r="D73" s="106">
        <f>+'Alimentazione CE Ricavi'!K69</f>
        <v>627019</v>
      </c>
      <c r="E73" s="106">
        <f>+'Alimentazione CE Ricavi'!N69</f>
        <v>460406</v>
      </c>
      <c r="F73" s="356"/>
      <c r="G73" s="222"/>
      <c r="H73" s="107"/>
      <c r="J73" s="103"/>
    </row>
    <row r="74" spans="1:10" ht="25.5">
      <c r="A74" s="215" t="s">
        <v>1530</v>
      </c>
      <c r="B74" s="112" t="s">
        <v>236</v>
      </c>
      <c r="C74" s="113" t="s">
        <v>1563</v>
      </c>
      <c r="D74" s="106">
        <f>+'Alimentazione CE Ricavi'!K70</f>
        <v>0</v>
      </c>
      <c r="E74" s="106">
        <f>+'Alimentazione CE Ricavi'!N70</f>
        <v>0</v>
      </c>
      <c r="F74" s="356"/>
      <c r="G74" s="222"/>
      <c r="H74" s="107"/>
      <c r="J74" s="103"/>
    </row>
    <row r="75" spans="1:10" ht="18.75">
      <c r="A75" s="215" t="s">
        <v>1530</v>
      </c>
      <c r="B75" s="112" t="s">
        <v>238</v>
      </c>
      <c r="C75" s="113" t="s">
        <v>1564</v>
      </c>
      <c r="D75" s="106">
        <f>+'Alimentazione CE Ricavi'!K71</f>
        <v>0</v>
      </c>
      <c r="E75" s="106">
        <f>+'Alimentazione CE Ricavi'!N71</f>
        <v>0</v>
      </c>
      <c r="F75" s="356"/>
      <c r="G75" s="222"/>
      <c r="H75" s="107"/>
      <c r="J75" s="103"/>
    </row>
    <row r="76" spans="1:10" ht="18.75">
      <c r="A76" s="215" t="s">
        <v>1530</v>
      </c>
      <c r="B76" s="112" t="s">
        <v>240</v>
      </c>
      <c r="C76" s="113" t="s">
        <v>1565</v>
      </c>
      <c r="D76" s="106">
        <f>+'Alimentazione CE Ricavi'!K72</f>
        <v>0</v>
      </c>
      <c r="E76" s="106">
        <f>+'Alimentazione CE Ricavi'!N72</f>
        <v>0</v>
      </c>
      <c r="F76" s="356"/>
      <c r="G76" s="222"/>
      <c r="H76" s="107"/>
      <c r="J76" s="103"/>
    </row>
    <row r="77" spans="1:10" ht="18.75">
      <c r="A77" s="215" t="s">
        <v>1530</v>
      </c>
      <c r="B77" s="112" t="s">
        <v>242</v>
      </c>
      <c r="C77" s="113" t="s">
        <v>1566</v>
      </c>
      <c r="D77" s="106">
        <f>+'Alimentazione CE Ricavi'!K73</f>
        <v>0</v>
      </c>
      <c r="E77" s="106">
        <f>+'Alimentazione CE Ricavi'!N73</f>
        <v>0</v>
      </c>
      <c r="F77" s="356"/>
      <c r="G77" s="222"/>
      <c r="H77" s="107"/>
      <c r="J77" s="103"/>
    </row>
    <row r="78" spans="1:10" ht="18.75">
      <c r="A78" s="215" t="s">
        <v>1530</v>
      </c>
      <c r="B78" s="112" t="s">
        <v>244</v>
      </c>
      <c r="C78" s="113" t="s">
        <v>1567</v>
      </c>
      <c r="D78" s="106">
        <f>+'Alimentazione CE Ricavi'!K74</f>
        <v>0</v>
      </c>
      <c r="E78" s="106">
        <f>+'Alimentazione CE Ricavi'!N74</f>
        <v>0</v>
      </c>
      <c r="F78" s="356"/>
      <c r="G78" s="222"/>
      <c r="H78" s="107"/>
      <c r="J78" s="103"/>
    </row>
    <row r="79" spans="1:10" ht="18.75">
      <c r="A79" s="215" t="s">
        <v>1530</v>
      </c>
      <c r="B79" s="112" t="s">
        <v>246</v>
      </c>
      <c r="C79" s="113" t="s">
        <v>1568</v>
      </c>
      <c r="D79" s="106">
        <f>+'Alimentazione CE Ricavi'!K75</f>
        <v>0</v>
      </c>
      <c r="E79" s="106">
        <f>+'Alimentazione CE Ricavi'!N75</f>
        <v>0</v>
      </c>
      <c r="F79" s="357"/>
      <c r="G79" s="222"/>
      <c r="H79" s="107"/>
      <c r="J79" s="103"/>
    </row>
    <row r="80" spans="1:10" ht="25.5">
      <c r="A80" s="213" t="s">
        <v>1530</v>
      </c>
      <c r="B80" s="112" t="s">
        <v>248</v>
      </c>
      <c r="C80" s="113" t="s">
        <v>1569</v>
      </c>
      <c r="D80" s="106">
        <f>+'Alimentazione CE Ricavi'!K76</f>
        <v>0</v>
      </c>
      <c r="E80" s="106">
        <f>+'Alimentazione CE Ricavi'!N76</f>
        <v>0</v>
      </c>
      <c r="F80" s="357"/>
      <c r="G80" s="222"/>
      <c r="H80" s="107"/>
      <c r="J80" s="103"/>
    </row>
    <row r="81" spans="1:10" ht="25.5">
      <c r="A81" s="213" t="s">
        <v>1530</v>
      </c>
      <c r="B81" s="112" t="s">
        <v>250</v>
      </c>
      <c r="C81" s="113" t="s">
        <v>1570</v>
      </c>
      <c r="D81" s="106">
        <f>+'Alimentazione CE Ricavi'!K77</f>
        <v>0</v>
      </c>
      <c r="E81" s="106">
        <f>+'Alimentazione CE Ricavi'!N77</f>
        <v>0</v>
      </c>
      <c r="F81" s="357"/>
      <c r="G81" s="222"/>
      <c r="H81" s="107"/>
      <c r="J81" s="103"/>
    </row>
    <row r="82" spans="1:10" ht="25.5">
      <c r="A82" s="213" t="s">
        <v>1530</v>
      </c>
      <c r="B82" s="112" t="s">
        <v>252</v>
      </c>
      <c r="C82" s="113" t="s">
        <v>1571</v>
      </c>
      <c r="D82" s="106">
        <f>+'Alimentazione CE Ricavi'!K78</f>
        <v>0</v>
      </c>
      <c r="E82" s="106">
        <f>+'Alimentazione CE Ricavi'!N78</f>
        <v>0</v>
      </c>
      <c r="F82" s="357"/>
      <c r="G82" s="222"/>
      <c r="H82" s="107"/>
      <c r="J82" s="103"/>
    </row>
    <row r="83" spans="1:10" ht="25.5">
      <c r="A83" s="213" t="s">
        <v>1530</v>
      </c>
      <c r="B83" s="112" t="s">
        <v>254</v>
      </c>
      <c r="C83" s="113" t="s">
        <v>1572</v>
      </c>
      <c r="D83" s="106">
        <f>+'Alimentazione CE Ricavi'!K80+'Alimentazione CE Ricavi'!K81</f>
        <v>229317.04</v>
      </c>
      <c r="E83" s="106">
        <f>+'Alimentazione CE Ricavi'!N80+'Alimentazione CE Ricavi'!N81</f>
        <v>234390.81999999998</v>
      </c>
      <c r="F83" s="357"/>
      <c r="G83" s="222"/>
      <c r="H83" s="107"/>
      <c r="J83" s="103"/>
    </row>
    <row r="84" spans="1:10" ht="25.5">
      <c r="A84" s="213"/>
      <c r="B84" s="110" t="s">
        <v>257</v>
      </c>
      <c r="C84" s="111" t="s">
        <v>1573</v>
      </c>
      <c r="D84" s="106">
        <f>+'Alimentazione CE Ricavi'!K82</f>
        <v>0</v>
      </c>
      <c r="E84" s="106">
        <f>+'Alimentazione CE Ricavi'!N82</f>
        <v>0</v>
      </c>
      <c r="F84" s="71"/>
      <c r="G84" s="222"/>
      <c r="H84" s="107"/>
      <c r="J84" s="103"/>
    </row>
    <row r="85" spans="1:10" ht="25.5">
      <c r="A85" s="213"/>
      <c r="B85" s="141" t="s">
        <v>259</v>
      </c>
      <c r="C85" s="142" t="s">
        <v>1574</v>
      </c>
      <c r="D85" s="143">
        <f t="shared" ref="D85" si="28">SUM(D86:D100,D103,D104,D105)</f>
        <v>5678714.7599999998</v>
      </c>
      <c r="E85" s="143">
        <f t="shared" ref="E85" si="29">SUM(E86:E100,E103,E104,E105)</f>
        <v>5845742.3200000003</v>
      </c>
      <c r="F85" s="71" t="s">
        <v>2118</v>
      </c>
      <c r="G85" s="222"/>
      <c r="H85" s="107"/>
      <c r="J85" s="103"/>
    </row>
    <row r="86" spans="1:10" ht="18.75">
      <c r="A86" s="213" t="s">
        <v>1575</v>
      </c>
      <c r="B86" s="112" t="s">
        <v>260</v>
      </c>
      <c r="C86" s="113" t="s">
        <v>1576</v>
      </c>
      <c r="D86" s="106">
        <f>+'Alimentazione CE Ricavi'!K85</f>
        <v>3956495</v>
      </c>
      <c r="E86" s="106">
        <f>+'Alimentazione CE Ricavi'!N85</f>
        <v>3631354.38</v>
      </c>
      <c r="F86" s="71"/>
      <c r="G86" s="222"/>
      <c r="H86" s="107"/>
      <c r="J86" s="103"/>
    </row>
    <row r="87" spans="1:10" ht="18.75">
      <c r="A87" s="213" t="s">
        <v>1575</v>
      </c>
      <c r="B87" s="112" t="s">
        <v>263</v>
      </c>
      <c r="C87" s="113" t="s">
        <v>1577</v>
      </c>
      <c r="D87" s="106">
        <f>+'Alimentazione CE Ricavi'!K87</f>
        <v>1120222</v>
      </c>
      <c r="E87" s="106">
        <f>+'Alimentazione CE Ricavi'!N87</f>
        <v>1727213.11</v>
      </c>
      <c r="F87" s="71"/>
      <c r="G87" s="222"/>
      <c r="H87" s="107"/>
      <c r="J87" s="103"/>
    </row>
    <row r="88" spans="1:10" ht="25.5">
      <c r="A88" s="213" t="s">
        <v>1575</v>
      </c>
      <c r="B88" s="112" t="s">
        <v>266</v>
      </c>
      <c r="C88" s="113" t="s">
        <v>1578</v>
      </c>
      <c r="D88" s="106">
        <f>+'Alimentazione CE Ricavi'!K88</f>
        <v>0</v>
      </c>
      <c r="E88" s="106">
        <f>+'Alimentazione CE Ricavi'!N88</f>
        <v>0</v>
      </c>
      <c r="F88" s="356"/>
      <c r="G88" s="222"/>
      <c r="H88" s="107"/>
      <c r="J88" s="103"/>
    </row>
    <row r="89" spans="1:10" ht="25.5">
      <c r="A89" s="215" t="s">
        <v>1579</v>
      </c>
      <c r="B89" s="112" t="s">
        <v>268</v>
      </c>
      <c r="C89" s="113" t="s">
        <v>1580</v>
      </c>
      <c r="D89" s="106">
        <f>+'Alimentazione CE Ricavi'!K89</f>
        <v>0</v>
      </c>
      <c r="E89" s="106">
        <f>+'Alimentazione CE Ricavi'!N89</f>
        <v>0</v>
      </c>
      <c r="F89" s="356"/>
      <c r="G89" s="222"/>
      <c r="H89" s="107"/>
      <c r="J89" s="103"/>
    </row>
    <row r="90" spans="1:10" ht="18.75">
      <c r="A90" s="215" t="s">
        <v>1575</v>
      </c>
      <c r="B90" s="112" t="s">
        <v>269</v>
      </c>
      <c r="C90" s="113" t="s">
        <v>1581</v>
      </c>
      <c r="D90" s="106">
        <f>+'Alimentazione CE Ricavi'!K90</f>
        <v>199555</v>
      </c>
      <c r="E90" s="106">
        <f>+'Alimentazione CE Ricavi'!N90</f>
        <v>218081.38</v>
      </c>
      <c r="F90" s="71"/>
      <c r="G90" s="222"/>
      <c r="H90" s="107"/>
      <c r="J90" s="103"/>
    </row>
    <row r="91" spans="1:10" ht="25.5">
      <c r="A91" s="215" t="s">
        <v>1575</v>
      </c>
      <c r="B91" s="112" t="s">
        <v>271</v>
      </c>
      <c r="C91" s="113" t="s">
        <v>1582</v>
      </c>
      <c r="D91" s="106">
        <f>+'Alimentazione CE Ricavi'!K91</f>
        <v>0</v>
      </c>
      <c r="E91" s="106">
        <f>+'Alimentazione CE Ricavi'!N91</f>
        <v>0</v>
      </c>
      <c r="F91" s="356"/>
      <c r="G91" s="222"/>
      <c r="H91" s="107"/>
      <c r="J91" s="103"/>
    </row>
    <row r="92" spans="1:10" ht="25.5">
      <c r="A92" s="215" t="s">
        <v>1575</v>
      </c>
      <c r="B92" s="112" t="s">
        <v>273</v>
      </c>
      <c r="C92" s="113" t="s">
        <v>1583</v>
      </c>
      <c r="D92" s="106">
        <f>+'Alimentazione CE Ricavi'!K92</f>
        <v>0</v>
      </c>
      <c r="E92" s="106">
        <f>+'Alimentazione CE Ricavi'!N92</f>
        <v>0</v>
      </c>
      <c r="F92" s="356"/>
      <c r="G92" s="222"/>
      <c r="H92" s="107"/>
      <c r="J92" s="103"/>
    </row>
    <row r="93" spans="1:10" ht="18.75">
      <c r="A93" s="215" t="s">
        <v>1575</v>
      </c>
      <c r="B93" s="112" t="s">
        <v>275</v>
      </c>
      <c r="C93" s="113" t="s">
        <v>1584</v>
      </c>
      <c r="D93" s="106">
        <f>+'Alimentazione CE Ricavi'!K93</f>
        <v>0</v>
      </c>
      <c r="E93" s="106">
        <f>+'Alimentazione CE Ricavi'!N93</f>
        <v>0</v>
      </c>
      <c r="F93" s="356"/>
      <c r="G93" s="222"/>
      <c r="H93" s="107"/>
      <c r="J93" s="103"/>
    </row>
    <row r="94" spans="1:10" ht="25.5">
      <c r="A94" s="215" t="s">
        <v>1575</v>
      </c>
      <c r="B94" s="112" t="s">
        <v>277</v>
      </c>
      <c r="C94" s="113" t="s">
        <v>1585</v>
      </c>
      <c r="D94" s="106">
        <f>+'Alimentazione CE Ricavi'!K94</f>
        <v>0</v>
      </c>
      <c r="E94" s="106">
        <f>+'Alimentazione CE Ricavi'!N94</f>
        <v>0</v>
      </c>
      <c r="F94" s="356"/>
      <c r="G94" s="222"/>
      <c r="H94" s="107"/>
      <c r="J94" s="103"/>
    </row>
    <row r="95" spans="1:10" ht="25.5">
      <c r="A95" s="215" t="s">
        <v>1579</v>
      </c>
      <c r="B95" s="112" t="s">
        <v>279</v>
      </c>
      <c r="C95" s="113" t="s">
        <v>1586</v>
      </c>
      <c r="D95" s="106">
        <f>+'Alimentazione CE Ricavi'!K95</f>
        <v>0</v>
      </c>
      <c r="E95" s="106">
        <f>+'Alimentazione CE Ricavi'!N95</f>
        <v>0</v>
      </c>
      <c r="F95" s="356"/>
      <c r="G95" s="222"/>
      <c r="H95" s="107"/>
      <c r="J95" s="103"/>
    </row>
    <row r="96" spans="1:10" ht="25.5">
      <c r="A96" s="215" t="s">
        <v>1579</v>
      </c>
      <c r="B96" s="112" t="s">
        <v>281</v>
      </c>
      <c r="C96" s="113" t="s">
        <v>1587</v>
      </c>
      <c r="D96" s="106">
        <f>+'Alimentazione CE Ricavi'!K96</f>
        <v>0</v>
      </c>
      <c r="E96" s="106">
        <f>+'Alimentazione CE Ricavi'!N96</f>
        <v>0</v>
      </c>
      <c r="F96" s="356"/>
      <c r="G96" s="222"/>
      <c r="H96" s="107"/>
      <c r="J96" s="103"/>
    </row>
    <row r="97" spans="1:10" ht="25.5">
      <c r="A97" s="215" t="s">
        <v>1575</v>
      </c>
      <c r="B97" s="112" t="s">
        <v>283</v>
      </c>
      <c r="C97" s="113" t="s">
        <v>1588</v>
      </c>
      <c r="D97" s="106">
        <f>+'Alimentazione CE Ricavi'!K97</f>
        <v>0</v>
      </c>
      <c r="E97" s="106">
        <f>+'Alimentazione CE Ricavi'!N97</f>
        <v>0</v>
      </c>
      <c r="F97" s="356"/>
      <c r="G97" s="222"/>
      <c r="H97" s="107"/>
      <c r="J97" s="103"/>
    </row>
    <row r="98" spans="1:10" ht="25.5">
      <c r="A98" s="215" t="s">
        <v>1575</v>
      </c>
      <c r="B98" s="112" t="s">
        <v>284</v>
      </c>
      <c r="C98" s="113" t="s">
        <v>1589</v>
      </c>
      <c r="D98" s="106">
        <f>+'Alimentazione CE Ricavi'!K98</f>
        <v>0</v>
      </c>
      <c r="E98" s="106">
        <f>+'Alimentazione CE Ricavi'!N98</f>
        <v>0</v>
      </c>
      <c r="F98" s="356"/>
      <c r="G98" s="222"/>
      <c r="H98" s="107"/>
      <c r="J98" s="103"/>
    </row>
    <row r="99" spans="1:10" ht="25.5">
      <c r="A99" s="215" t="s">
        <v>1575</v>
      </c>
      <c r="B99" s="112" t="s">
        <v>287</v>
      </c>
      <c r="C99" s="113" t="s">
        <v>1590</v>
      </c>
      <c r="D99" s="106">
        <f>+'Alimentazione CE Ricavi'!K99</f>
        <v>260481</v>
      </c>
      <c r="E99" s="106">
        <f>+'Alimentazione CE Ricavi'!N99</f>
        <v>0</v>
      </c>
      <c r="F99" s="356"/>
      <c r="G99" s="222"/>
      <c r="H99" s="107"/>
      <c r="J99" s="103"/>
    </row>
    <row r="100" spans="1:10" ht="38.25">
      <c r="A100" s="215" t="s">
        <v>1579</v>
      </c>
      <c r="B100" s="144" t="s">
        <v>289</v>
      </c>
      <c r="C100" s="145" t="s">
        <v>1591</v>
      </c>
      <c r="D100" s="146">
        <f t="shared" ref="D100" si="30">+D101+D102</f>
        <v>31345.759999999998</v>
      </c>
      <c r="E100" s="146">
        <f t="shared" ref="E100" si="31">+E101+E102</f>
        <v>206150.48</v>
      </c>
      <c r="F100" s="71" t="s">
        <v>2118</v>
      </c>
      <c r="G100" s="222"/>
      <c r="H100" s="107"/>
      <c r="J100" s="103"/>
    </row>
    <row r="101" spans="1:10" ht="25.5">
      <c r="A101" s="215" t="s">
        <v>1579</v>
      </c>
      <c r="B101" s="110" t="s">
        <v>291</v>
      </c>
      <c r="C101" s="111" t="s">
        <v>1592</v>
      </c>
      <c r="D101" s="106">
        <f>+'Alimentazione CE Ricavi'!K101</f>
        <v>0</v>
      </c>
      <c r="E101" s="106">
        <f>+'Alimentazione CE Ricavi'!N101</f>
        <v>0</v>
      </c>
      <c r="F101" s="356"/>
      <c r="G101" s="222"/>
      <c r="H101" s="107"/>
      <c r="J101" s="103"/>
    </row>
    <row r="102" spans="1:10" ht="38.25">
      <c r="A102" s="215" t="s">
        <v>1579</v>
      </c>
      <c r="B102" s="110" t="s">
        <v>293</v>
      </c>
      <c r="C102" s="111" t="s">
        <v>1593</v>
      </c>
      <c r="D102" s="106">
        <f>+'Alimentazione CE Ricavi'!K103+'Alimentazione CE Ricavi'!K106+'Alimentazione CE Ricavi'!K104+'Alimentazione CE Ricavi'!K105</f>
        <v>31345.759999999998</v>
      </c>
      <c r="E102" s="106">
        <f>+'Alimentazione CE Ricavi'!N103+'Alimentazione CE Ricavi'!N106+'Alimentazione CE Ricavi'!N104+'Alimentazione CE Ricavi'!N105</f>
        <v>206150.48</v>
      </c>
      <c r="F102" s="356"/>
      <c r="G102" s="222"/>
      <c r="H102" s="107"/>
      <c r="J102" s="103"/>
    </row>
    <row r="103" spans="1:10" ht="25.5">
      <c r="A103" s="215"/>
      <c r="B103" s="112" t="s">
        <v>295</v>
      </c>
      <c r="C103" s="113" t="s">
        <v>1594</v>
      </c>
      <c r="D103" s="106">
        <f>+'Alimentazione CE Ricavi'!K107</f>
        <v>110616</v>
      </c>
      <c r="E103" s="106">
        <f>+'Alimentazione CE Ricavi'!N107</f>
        <v>62942.97</v>
      </c>
      <c r="F103" s="356"/>
      <c r="G103" s="222"/>
      <c r="H103" s="107"/>
      <c r="J103" s="103"/>
    </row>
    <row r="104" spans="1:10" ht="25.5">
      <c r="A104" s="213" t="s">
        <v>1530</v>
      </c>
      <c r="B104" s="112" t="s">
        <v>297</v>
      </c>
      <c r="C104" s="113" t="s">
        <v>1595</v>
      </c>
      <c r="D104" s="106">
        <f>+'Alimentazione CE Ricavi'!K108</f>
        <v>0</v>
      </c>
      <c r="E104" s="106">
        <f>+'Alimentazione CE Ricavi'!N108</f>
        <v>0</v>
      </c>
      <c r="F104" s="356"/>
      <c r="G104" s="222"/>
      <c r="H104" s="107"/>
      <c r="J104" s="103"/>
    </row>
    <row r="105" spans="1:10" ht="38.25">
      <c r="A105" s="213" t="s">
        <v>1579</v>
      </c>
      <c r="B105" s="112" t="s">
        <v>299</v>
      </c>
      <c r="C105" s="113" t="s">
        <v>1596</v>
      </c>
      <c r="D105" s="106">
        <f>+'Alimentazione CE Ricavi'!K109</f>
        <v>0</v>
      </c>
      <c r="E105" s="106">
        <f>+'Alimentazione CE Ricavi'!N109</f>
        <v>0</v>
      </c>
      <c r="F105" s="356"/>
      <c r="G105" s="222"/>
      <c r="H105" s="107"/>
      <c r="J105" s="103"/>
    </row>
    <row r="106" spans="1:10" ht="51">
      <c r="A106" s="216" t="s">
        <v>1575</v>
      </c>
      <c r="B106" s="130" t="s">
        <v>301</v>
      </c>
      <c r="C106" s="131" t="s">
        <v>1597</v>
      </c>
      <c r="D106" s="129">
        <f t="shared" ref="D106" si="32">SUM(D107:D111)</f>
        <v>0</v>
      </c>
      <c r="E106" s="129">
        <f t="shared" ref="E106" si="33">SUM(E107:E111)</f>
        <v>0</v>
      </c>
      <c r="F106" s="71" t="s">
        <v>2118</v>
      </c>
      <c r="G106" s="222"/>
      <c r="H106" s="107"/>
      <c r="J106" s="103"/>
    </row>
    <row r="107" spans="1:10" ht="25.5">
      <c r="A107" s="215" t="s">
        <v>1575</v>
      </c>
      <c r="B107" s="112" t="s">
        <v>303</v>
      </c>
      <c r="C107" s="113" t="s">
        <v>1598</v>
      </c>
      <c r="D107" s="106">
        <f>+'Alimentazione CE Ricavi'!K111</f>
        <v>0</v>
      </c>
      <c r="E107" s="106">
        <f>+'Alimentazione CE Ricavi'!N111</f>
        <v>0</v>
      </c>
      <c r="F107" s="356"/>
      <c r="G107" s="222"/>
      <c r="H107" s="107"/>
      <c r="J107" s="103"/>
    </row>
    <row r="108" spans="1:10" ht="25.5">
      <c r="A108" s="215" t="s">
        <v>1575</v>
      </c>
      <c r="B108" s="110" t="s">
        <v>305</v>
      </c>
      <c r="C108" s="111" t="s">
        <v>1599</v>
      </c>
      <c r="D108" s="106">
        <f>+'Alimentazione CE Ricavi'!K112</f>
        <v>0</v>
      </c>
      <c r="E108" s="106">
        <f>+'Alimentazione CE Ricavi'!N112</f>
        <v>0</v>
      </c>
      <c r="F108" s="356"/>
      <c r="G108" s="222"/>
      <c r="H108" s="107"/>
      <c r="J108" s="103"/>
    </row>
    <row r="109" spans="1:10" ht="38.25">
      <c r="A109" s="215" t="s">
        <v>1575</v>
      </c>
      <c r="B109" s="110" t="s">
        <v>307</v>
      </c>
      <c r="C109" s="111" t="s">
        <v>1600</v>
      </c>
      <c r="D109" s="106">
        <f>+'Alimentazione CE Ricavi'!K113</f>
        <v>0</v>
      </c>
      <c r="E109" s="106">
        <f>+'Alimentazione CE Ricavi'!N113</f>
        <v>0</v>
      </c>
      <c r="F109" s="356"/>
      <c r="G109" s="222"/>
      <c r="H109" s="107"/>
      <c r="J109" s="103"/>
    </row>
    <row r="110" spans="1:10" ht="25.5">
      <c r="A110" s="213" t="s">
        <v>1575</v>
      </c>
      <c r="B110" s="110" t="s">
        <v>309</v>
      </c>
      <c r="C110" s="111" t="s">
        <v>1601</v>
      </c>
      <c r="D110" s="106">
        <f>+'Alimentazione CE Ricavi'!K114</f>
        <v>0</v>
      </c>
      <c r="E110" s="106">
        <f>+'Alimentazione CE Ricavi'!N114</f>
        <v>0</v>
      </c>
      <c r="F110" s="356"/>
      <c r="G110" s="222"/>
      <c r="H110" s="107"/>
      <c r="J110" s="103"/>
    </row>
    <row r="111" spans="1:10" ht="38.25">
      <c r="A111" s="213" t="s">
        <v>1575</v>
      </c>
      <c r="B111" s="110" t="s">
        <v>311</v>
      </c>
      <c r="C111" s="111" t="s">
        <v>1602</v>
      </c>
      <c r="D111" s="106">
        <f>+'Alimentazione CE Ricavi'!K115</f>
        <v>0</v>
      </c>
      <c r="E111" s="106">
        <f>+'Alimentazione CE Ricavi'!N115</f>
        <v>0</v>
      </c>
      <c r="F111" s="356"/>
      <c r="G111" s="222"/>
      <c r="H111" s="107"/>
      <c r="J111" s="103"/>
    </row>
    <row r="112" spans="1:10" ht="25.5">
      <c r="A112" s="213"/>
      <c r="B112" s="130" t="s">
        <v>313</v>
      </c>
      <c r="C112" s="131" t="s">
        <v>1603</v>
      </c>
      <c r="D112" s="129">
        <f>+ROUND(SUM('Alimentazione CE Ricavi'!K118:K152),2)</f>
        <v>946634.06</v>
      </c>
      <c r="E112" s="129">
        <f>+ROUND(SUM('Alimentazione CE Ricavi'!N118:N152),2)</f>
        <v>903212.87</v>
      </c>
      <c r="F112" s="71"/>
      <c r="G112" s="222"/>
      <c r="H112" s="107"/>
      <c r="J112" s="103"/>
    </row>
    <row r="113" spans="1:10" ht="25.5">
      <c r="A113" s="213"/>
      <c r="B113" s="130" t="s">
        <v>1604</v>
      </c>
      <c r="C113" s="131" t="s">
        <v>1605</v>
      </c>
      <c r="D113" s="129">
        <f t="shared" ref="D113" si="34">SUM(D114:D120)</f>
        <v>1217364.9400000002</v>
      </c>
      <c r="E113" s="129">
        <f t="shared" ref="E113" si="35">SUM(E114:E120)</f>
        <v>1208606.4600000002</v>
      </c>
      <c r="F113" s="71" t="s">
        <v>2118</v>
      </c>
      <c r="G113" s="222"/>
      <c r="H113" s="107"/>
      <c r="J113" s="103"/>
    </row>
    <row r="114" spans="1:10" ht="25.5">
      <c r="A114" s="213"/>
      <c r="B114" s="110" t="s">
        <v>350</v>
      </c>
      <c r="C114" s="111" t="s">
        <v>1606</v>
      </c>
      <c r="D114" s="106">
        <f>+'Alimentazione CE Ricavi'!K154</f>
        <v>39430.300000000003</v>
      </c>
      <c r="E114" s="106">
        <f>+'Alimentazione CE Ricavi'!N154</f>
        <v>128659.28</v>
      </c>
      <c r="F114" s="71"/>
      <c r="G114" s="222"/>
      <c r="H114" s="107"/>
      <c r="J114" s="103"/>
    </row>
    <row r="115" spans="1:10" ht="25.5">
      <c r="A115" s="213"/>
      <c r="B115" s="110" t="s">
        <v>352</v>
      </c>
      <c r="C115" s="111" t="s">
        <v>1607</v>
      </c>
      <c r="D115" s="106">
        <f>+'Alimentazione CE Ricavi'!K155</f>
        <v>871053.4</v>
      </c>
      <c r="E115" s="106">
        <f>+'Alimentazione CE Ricavi'!N155</f>
        <v>830638</v>
      </c>
      <c r="F115" s="71"/>
      <c r="G115" s="222"/>
      <c r="H115" s="107"/>
      <c r="J115" s="103"/>
    </row>
    <row r="116" spans="1:10" ht="25.5">
      <c r="A116" s="213"/>
      <c r="B116" s="110" t="s">
        <v>354</v>
      </c>
      <c r="C116" s="111" t="s">
        <v>1608</v>
      </c>
      <c r="D116" s="106">
        <f>+'Alimentazione CE Ricavi'!K156</f>
        <v>0</v>
      </c>
      <c r="E116" s="106">
        <f>+'Alimentazione CE Ricavi'!N156</f>
        <v>0</v>
      </c>
      <c r="F116" s="71"/>
      <c r="G116" s="222"/>
      <c r="H116" s="107"/>
      <c r="J116" s="103"/>
    </row>
    <row r="117" spans="1:10" ht="25.5">
      <c r="A117" s="213"/>
      <c r="B117" s="110" t="s">
        <v>356</v>
      </c>
      <c r="C117" s="111" t="s">
        <v>1609</v>
      </c>
      <c r="D117" s="106">
        <f>+'Alimentazione CE Ricavi'!K157</f>
        <v>249442.65</v>
      </c>
      <c r="E117" s="106">
        <f>+'Alimentazione CE Ricavi'!N157</f>
        <v>200356.08</v>
      </c>
      <c r="F117" s="71"/>
      <c r="G117" s="222"/>
      <c r="H117" s="107"/>
      <c r="J117" s="103"/>
    </row>
    <row r="118" spans="1:10" ht="38.25">
      <c r="A118" s="213" t="s">
        <v>1530</v>
      </c>
      <c r="B118" s="110" t="s">
        <v>358</v>
      </c>
      <c r="C118" s="111" t="s">
        <v>1610</v>
      </c>
      <c r="D118" s="106">
        <f>+'Alimentazione CE Ricavi'!K158</f>
        <v>52456.59</v>
      </c>
      <c r="E118" s="106">
        <f>+'Alimentazione CE Ricavi'!N158</f>
        <v>40723.99</v>
      </c>
      <c r="F118" s="71"/>
      <c r="G118" s="222"/>
      <c r="H118" s="107"/>
      <c r="J118" s="103"/>
    </row>
    <row r="119" spans="1:10" ht="18.75">
      <c r="A119" s="213"/>
      <c r="B119" s="110" t="s">
        <v>360</v>
      </c>
      <c r="C119" s="111" t="s">
        <v>1611</v>
      </c>
      <c r="D119" s="106">
        <f>+'Alimentazione CE Ricavi'!K159</f>
        <v>0</v>
      </c>
      <c r="E119" s="106">
        <f>+'Alimentazione CE Ricavi'!N159</f>
        <v>8229.11</v>
      </c>
      <c r="F119" s="71"/>
      <c r="G119" s="222"/>
      <c r="H119" s="107"/>
      <c r="J119" s="103"/>
    </row>
    <row r="120" spans="1:10" ht="25.5">
      <c r="A120" s="213" t="s">
        <v>1530</v>
      </c>
      <c r="B120" s="110" t="s">
        <v>362</v>
      </c>
      <c r="C120" s="111" t="s">
        <v>1612</v>
      </c>
      <c r="D120" s="106">
        <f>+'Alimentazione CE Ricavi'!K160</f>
        <v>4982</v>
      </c>
      <c r="E120" s="106">
        <f>+'Alimentazione CE Ricavi'!N160</f>
        <v>0</v>
      </c>
      <c r="F120" s="71"/>
      <c r="G120" s="222"/>
      <c r="H120" s="107"/>
      <c r="J120" s="103"/>
    </row>
    <row r="121" spans="1:10" ht="18.75">
      <c r="A121" s="213"/>
      <c r="B121" s="135" t="s">
        <v>1613</v>
      </c>
      <c r="C121" s="136" t="s">
        <v>1614</v>
      </c>
      <c r="D121" s="137">
        <f t="shared" ref="D121" si="36">+D122+D123+D126+D131+D135</f>
        <v>892431.89999999991</v>
      </c>
      <c r="E121" s="137">
        <f t="shared" ref="E121" si="37">+E122+E123+E126+E131+E135</f>
        <v>970927.62000000011</v>
      </c>
      <c r="F121" s="71"/>
      <c r="G121" s="222"/>
      <c r="H121" s="107"/>
      <c r="J121" s="103"/>
    </row>
    <row r="122" spans="1:10" ht="18.75">
      <c r="A122" s="213"/>
      <c r="B122" s="108" t="s">
        <v>365</v>
      </c>
      <c r="C122" s="109" t="s">
        <v>1615</v>
      </c>
      <c r="D122" s="106">
        <f>+'Alimentazione CE Ricavi'!K162</f>
        <v>2538.8000000000002</v>
      </c>
      <c r="E122" s="106">
        <f>+'Alimentazione CE Ricavi'!N162</f>
        <v>3768.9</v>
      </c>
      <c r="F122" s="71"/>
      <c r="G122" s="222"/>
      <c r="H122" s="107"/>
      <c r="J122" s="103"/>
    </row>
    <row r="123" spans="1:10" ht="18.75">
      <c r="A123" s="217"/>
      <c r="B123" s="130" t="s">
        <v>1616</v>
      </c>
      <c r="C123" s="131" t="s">
        <v>1617</v>
      </c>
      <c r="D123" s="129">
        <f t="shared" ref="D123" si="38">+D124+D125</f>
        <v>0</v>
      </c>
      <c r="E123" s="129">
        <f t="shared" ref="E123" si="39">+E124+E125</f>
        <v>0</v>
      </c>
      <c r="F123" s="71" t="s">
        <v>2118</v>
      </c>
      <c r="G123" s="222"/>
      <c r="H123" s="107"/>
      <c r="J123" s="103"/>
    </row>
    <row r="124" spans="1:10" ht="25.5">
      <c r="A124" s="217"/>
      <c r="B124" s="110" t="s">
        <v>368</v>
      </c>
      <c r="C124" s="111" t="s">
        <v>1618</v>
      </c>
      <c r="D124" s="106">
        <f>+'Alimentazione CE Ricavi'!K164</f>
        <v>0</v>
      </c>
      <c r="E124" s="106">
        <f>+'Alimentazione CE Ricavi'!N164</f>
        <v>0</v>
      </c>
      <c r="F124" s="71"/>
      <c r="G124" s="222"/>
      <c r="H124" s="107"/>
      <c r="J124" s="103"/>
    </row>
    <row r="125" spans="1:10" ht="25.5">
      <c r="A125" s="217"/>
      <c r="B125" s="110" t="s">
        <v>370</v>
      </c>
      <c r="C125" s="111" t="s">
        <v>1619</v>
      </c>
      <c r="D125" s="106">
        <f>+'Alimentazione CE Ricavi'!K165</f>
        <v>0</v>
      </c>
      <c r="E125" s="106">
        <f>+'Alimentazione CE Ricavi'!N165</f>
        <v>0</v>
      </c>
      <c r="F125" s="71"/>
      <c r="G125" s="222"/>
      <c r="H125" s="107"/>
      <c r="J125" s="103"/>
    </row>
    <row r="126" spans="1:10" ht="25.5">
      <c r="A126" s="216" t="s">
        <v>1530</v>
      </c>
      <c r="B126" s="130" t="s">
        <v>1620</v>
      </c>
      <c r="C126" s="131" t="s">
        <v>1621</v>
      </c>
      <c r="D126" s="129">
        <f t="shared" ref="D126" si="40">+D127+D128+D129+D130</f>
        <v>411224.51999999996</v>
      </c>
      <c r="E126" s="129">
        <f t="shared" ref="E126" si="41">+E127+E128+E129+E130</f>
        <v>75297.97</v>
      </c>
      <c r="F126" s="71" t="s">
        <v>2118</v>
      </c>
      <c r="G126" s="222"/>
      <c r="H126" s="107"/>
      <c r="J126" s="103"/>
    </row>
    <row r="127" spans="1:10" ht="38.25">
      <c r="A127" s="213" t="s">
        <v>1530</v>
      </c>
      <c r="B127" s="110" t="s">
        <v>373</v>
      </c>
      <c r="C127" s="111" t="s">
        <v>1622</v>
      </c>
      <c r="D127" s="106">
        <f>+'Alimentazione CE Ricavi'!K167</f>
        <v>45826.93</v>
      </c>
      <c r="E127" s="106">
        <f>+'Alimentazione CE Ricavi'!N167</f>
        <v>37063.71</v>
      </c>
      <c r="F127" s="71"/>
      <c r="G127" s="222"/>
      <c r="H127" s="107"/>
      <c r="J127" s="103"/>
    </row>
    <row r="128" spans="1:10" ht="25.5">
      <c r="A128" s="213" t="s">
        <v>1530</v>
      </c>
      <c r="B128" s="110" t="s">
        <v>375</v>
      </c>
      <c r="C128" s="111" t="s">
        <v>1623</v>
      </c>
      <c r="D128" s="106">
        <f>+'Alimentazione CE Ricavi'!K168</f>
        <v>0</v>
      </c>
      <c r="E128" s="106">
        <f>+'Alimentazione CE Ricavi'!N168</f>
        <v>0</v>
      </c>
      <c r="F128" s="71"/>
      <c r="G128" s="222"/>
      <c r="H128" s="107"/>
      <c r="J128" s="103"/>
    </row>
    <row r="129" spans="1:10" ht="25.5">
      <c r="A129" s="213" t="s">
        <v>1530</v>
      </c>
      <c r="B129" s="110" t="s">
        <v>377</v>
      </c>
      <c r="C129" s="111" t="s">
        <v>1624</v>
      </c>
      <c r="D129" s="106">
        <f>+'Alimentazione CE Ricavi'!K170+'Alimentazione CE Ricavi'!K171+'Alimentazione CE Ricavi'!K172</f>
        <v>365397.58999999997</v>
      </c>
      <c r="E129" s="106">
        <f>+'Alimentazione CE Ricavi'!N170+'Alimentazione CE Ricavi'!N171+'Alimentazione CE Ricavi'!N172</f>
        <v>38234.26</v>
      </c>
      <c r="F129" s="71"/>
      <c r="G129" s="222"/>
      <c r="H129" s="107"/>
      <c r="J129" s="103"/>
    </row>
    <row r="130" spans="1:10" ht="25.5">
      <c r="A130" s="213" t="s">
        <v>1530</v>
      </c>
      <c r="B130" s="110" t="s">
        <v>381</v>
      </c>
      <c r="C130" s="111" t="s">
        <v>1625</v>
      </c>
      <c r="D130" s="106">
        <f>+'Alimentazione CE Ricavi'!K173</f>
        <v>0</v>
      </c>
      <c r="E130" s="106">
        <f>+'Alimentazione CE Ricavi'!N173</f>
        <v>0</v>
      </c>
      <c r="F130" s="71"/>
      <c r="G130" s="222"/>
      <c r="H130" s="107"/>
      <c r="J130" s="103"/>
    </row>
    <row r="131" spans="1:10" ht="25.5">
      <c r="A131" s="213"/>
      <c r="B131" s="130" t="s">
        <v>383</v>
      </c>
      <c r="C131" s="131" t="s">
        <v>1626</v>
      </c>
      <c r="D131" s="129">
        <f t="shared" ref="D131" si="42">+D132+D133+D134</f>
        <v>168875.08</v>
      </c>
      <c r="E131" s="129">
        <f t="shared" ref="E131" si="43">+E132+E133+E134</f>
        <v>113793.44</v>
      </c>
      <c r="F131" s="71" t="s">
        <v>2118</v>
      </c>
      <c r="G131" s="222"/>
      <c r="H131" s="107"/>
      <c r="J131" s="103"/>
    </row>
    <row r="132" spans="1:10" ht="38.25">
      <c r="A132" s="213"/>
      <c r="B132" s="110" t="s">
        <v>385</v>
      </c>
      <c r="C132" s="111" t="s">
        <v>1627</v>
      </c>
      <c r="D132" s="106">
        <f>+'Alimentazione CE Ricavi'!K175</f>
        <v>0</v>
      </c>
      <c r="E132" s="106">
        <f>+'Alimentazione CE Ricavi'!N175</f>
        <v>4184.45</v>
      </c>
      <c r="F132" s="71"/>
      <c r="G132" s="222"/>
      <c r="H132" s="107"/>
      <c r="J132" s="103"/>
    </row>
    <row r="133" spans="1:10" ht="25.5">
      <c r="A133" s="213"/>
      <c r="B133" s="110" t="s">
        <v>387</v>
      </c>
      <c r="C133" s="111" t="s">
        <v>1628</v>
      </c>
      <c r="D133" s="106">
        <f>+'Alimentazione CE Ricavi'!K176</f>
        <v>0</v>
      </c>
      <c r="E133" s="106">
        <f>+'Alimentazione CE Ricavi'!N176</f>
        <v>0</v>
      </c>
      <c r="F133" s="71"/>
      <c r="G133" s="222"/>
      <c r="H133" s="107"/>
      <c r="J133" s="103"/>
    </row>
    <row r="134" spans="1:10" ht="25.5">
      <c r="A134" s="213"/>
      <c r="B134" s="110" t="s">
        <v>389</v>
      </c>
      <c r="C134" s="111" t="s">
        <v>1629</v>
      </c>
      <c r="D134" s="106">
        <f>+ROUND(SUM('Alimentazione CE Ricavi'!K178:K183),2)</f>
        <v>168875.08</v>
      </c>
      <c r="E134" s="106">
        <f>+ROUND(SUM('Alimentazione CE Ricavi'!N178:N183),2)</f>
        <v>109608.99</v>
      </c>
      <c r="F134" s="71"/>
      <c r="G134" s="222"/>
      <c r="H134" s="107"/>
      <c r="J134" s="103"/>
    </row>
    <row r="135" spans="1:10" ht="18.75">
      <c r="A135" s="213"/>
      <c r="B135" s="130" t="s">
        <v>396</v>
      </c>
      <c r="C135" s="131" t="s">
        <v>1630</v>
      </c>
      <c r="D135" s="129">
        <f t="shared" ref="D135" si="44">+D136+D140+D141</f>
        <v>309793.5</v>
      </c>
      <c r="E135" s="129">
        <f t="shared" ref="E135" si="45">+E136+E140+E141</f>
        <v>778067.31</v>
      </c>
      <c r="F135" s="71" t="s">
        <v>2118</v>
      </c>
      <c r="G135" s="222"/>
      <c r="H135" s="107"/>
      <c r="J135" s="103"/>
    </row>
    <row r="136" spans="1:10" ht="18.75">
      <c r="A136" s="213"/>
      <c r="B136" s="147" t="s">
        <v>398</v>
      </c>
      <c r="C136" s="148" t="s">
        <v>1631</v>
      </c>
      <c r="D136" s="149">
        <f t="shared" ref="D136" si="46">+D137+D138+D139</f>
        <v>184539.93</v>
      </c>
      <c r="E136" s="149">
        <f t="shared" ref="E136" si="47">+E137+E138+E139</f>
        <v>680407.54</v>
      </c>
      <c r="F136" s="71" t="s">
        <v>2118</v>
      </c>
      <c r="G136" s="223"/>
      <c r="H136" s="107"/>
      <c r="J136" s="103"/>
    </row>
    <row r="137" spans="1:10" ht="25.5">
      <c r="A137" s="213"/>
      <c r="B137" s="112" t="s">
        <v>400</v>
      </c>
      <c r="C137" s="113" t="s">
        <v>1632</v>
      </c>
      <c r="D137" s="106">
        <f>+'Alimentazione CE Ricavi'!K186</f>
        <v>0</v>
      </c>
      <c r="E137" s="106">
        <f>+'Alimentazione CE Ricavi'!N186</f>
        <v>0</v>
      </c>
      <c r="F137" s="71"/>
      <c r="G137" s="222"/>
      <c r="H137" s="107"/>
      <c r="J137" s="103"/>
    </row>
    <row r="138" spans="1:10" ht="25.5">
      <c r="A138" s="213"/>
      <c r="B138" s="112" t="s">
        <v>402</v>
      </c>
      <c r="C138" s="113" t="s">
        <v>1633</v>
      </c>
      <c r="D138" s="106">
        <f>+'Alimentazione CE Ricavi'!K187</f>
        <v>157696.34</v>
      </c>
      <c r="E138" s="106">
        <f>+'Alimentazione CE Ricavi'!N187</f>
        <v>502631</v>
      </c>
      <c r="F138" s="71"/>
      <c r="G138" s="222"/>
      <c r="H138" s="107"/>
      <c r="J138" s="103"/>
    </row>
    <row r="139" spans="1:10" ht="18.75">
      <c r="A139" s="213"/>
      <c r="B139" s="112" t="s">
        <v>404</v>
      </c>
      <c r="C139" s="113" t="s">
        <v>1634</v>
      </c>
      <c r="D139" s="106">
        <f>+'Alimentazione CE Ricavi'!K188</f>
        <v>26843.59</v>
      </c>
      <c r="E139" s="106">
        <f>+'Alimentazione CE Ricavi'!N188</f>
        <v>177776.54</v>
      </c>
      <c r="F139" s="71"/>
      <c r="G139" s="222"/>
      <c r="H139" s="107"/>
      <c r="J139" s="103"/>
    </row>
    <row r="140" spans="1:10" ht="18.75">
      <c r="A140" s="215"/>
      <c r="B140" s="110" t="s">
        <v>406</v>
      </c>
      <c r="C140" s="111" t="s">
        <v>1635</v>
      </c>
      <c r="D140" s="106">
        <f>+'Alimentazione CE Ricavi'!K189</f>
        <v>0</v>
      </c>
      <c r="E140" s="106">
        <f>+'Alimentazione CE Ricavi'!N189</f>
        <v>0</v>
      </c>
      <c r="F140" s="356"/>
      <c r="G140" s="222"/>
      <c r="H140" s="107"/>
      <c r="J140" s="103"/>
    </row>
    <row r="141" spans="1:10" ht="18.75">
      <c r="A141" s="215"/>
      <c r="B141" s="110" t="s">
        <v>408</v>
      </c>
      <c r="C141" s="111" t="s">
        <v>1636</v>
      </c>
      <c r="D141" s="106">
        <f>+ROUND(SUM('Alimentazione CE Ricavi'!K191:K203),2)</f>
        <v>125253.57</v>
      </c>
      <c r="E141" s="106">
        <f>+ROUND(SUM('Alimentazione CE Ricavi'!N191:N203),2)</f>
        <v>97659.77</v>
      </c>
      <c r="F141" s="356"/>
      <c r="G141" s="222"/>
      <c r="H141" s="107"/>
      <c r="J141" s="103"/>
    </row>
    <row r="142" spans="1:10" ht="25.5">
      <c r="A142" s="215"/>
      <c r="B142" s="135" t="s">
        <v>422</v>
      </c>
      <c r="C142" s="136" t="s">
        <v>1637</v>
      </c>
      <c r="D142" s="137">
        <f t="shared" ref="D142" si="48">+D143+D144+D145</f>
        <v>1808257.95</v>
      </c>
      <c r="E142" s="137">
        <f t="shared" ref="E142" si="49">+E143+E144+E145</f>
        <v>1672348.2000000002</v>
      </c>
      <c r="F142" s="71" t="s">
        <v>2118</v>
      </c>
      <c r="G142" s="222"/>
      <c r="H142" s="107"/>
      <c r="J142" s="103"/>
    </row>
    <row r="143" spans="1:10" ht="38.25">
      <c r="A143" s="215"/>
      <c r="B143" s="108" t="s">
        <v>423</v>
      </c>
      <c r="C143" s="109" t="s">
        <v>1638</v>
      </c>
      <c r="D143" s="106">
        <f>+'Alimentazione CE Ricavi'!K205</f>
        <v>1792592.55</v>
      </c>
      <c r="E143" s="106">
        <f>+'Alimentazione CE Ricavi'!N205</f>
        <v>1657734.1</v>
      </c>
      <c r="F143" s="356"/>
      <c r="G143" s="222"/>
      <c r="H143" s="107"/>
      <c r="J143" s="103"/>
    </row>
    <row r="144" spans="1:10" ht="25.5">
      <c r="A144" s="213"/>
      <c r="B144" s="108" t="s">
        <v>425</v>
      </c>
      <c r="C144" s="109" t="s">
        <v>1639</v>
      </c>
      <c r="D144" s="106">
        <f>+'Alimentazione CE Ricavi'!K206</f>
        <v>15665.4</v>
      </c>
      <c r="E144" s="106">
        <f>+'Alimentazione CE Ricavi'!N206</f>
        <v>14614.1</v>
      </c>
      <c r="F144" s="71"/>
      <c r="G144" s="222"/>
      <c r="H144" s="107"/>
      <c r="J144" s="103"/>
    </row>
    <row r="145" spans="1:10" ht="25.5">
      <c r="A145" s="213"/>
      <c r="B145" s="108" t="s">
        <v>427</v>
      </c>
      <c r="C145" s="109" t="s">
        <v>1640</v>
      </c>
      <c r="D145" s="106">
        <f>+'Alimentazione CE Ricavi'!K207</f>
        <v>0</v>
      </c>
      <c r="E145" s="106">
        <f>+'Alimentazione CE Ricavi'!N207</f>
        <v>0</v>
      </c>
      <c r="F145" s="71"/>
      <c r="G145" s="222"/>
      <c r="H145" s="107"/>
      <c r="J145" s="103"/>
    </row>
    <row r="146" spans="1:10" ht="25.5">
      <c r="A146" s="213"/>
      <c r="B146" s="135" t="s">
        <v>429</v>
      </c>
      <c r="C146" s="136" t="s">
        <v>1641</v>
      </c>
      <c r="D146" s="137">
        <f t="shared" ref="D146" si="50">+D147+D148+D149+D150+D151+D152</f>
        <v>3507990.9099999997</v>
      </c>
      <c r="E146" s="137">
        <f t="shared" ref="E146" si="51">+E147+E148+E149+E150+E151+E152</f>
        <v>3018515.68</v>
      </c>
      <c r="F146" s="71" t="s">
        <v>2118</v>
      </c>
      <c r="G146" s="222"/>
      <c r="H146" s="107"/>
      <c r="J146" s="103"/>
    </row>
    <row r="147" spans="1:10" ht="25.5">
      <c r="A147" s="213"/>
      <c r="B147" s="108" t="s">
        <v>431</v>
      </c>
      <c r="C147" s="109" t="s">
        <v>1642</v>
      </c>
      <c r="D147" s="106">
        <f>+'Alimentazione CE Ricavi'!K209</f>
        <v>567987.67000000004</v>
      </c>
      <c r="E147" s="106">
        <f>+'Alimentazione CE Ricavi'!N209</f>
        <v>555733.72</v>
      </c>
      <c r="F147" s="71"/>
      <c r="G147" s="222"/>
      <c r="H147" s="107"/>
      <c r="J147" s="103"/>
    </row>
    <row r="148" spans="1:10" ht="25.5">
      <c r="A148" s="213"/>
      <c r="B148" s="108" t="s">
        <v>433</v>
      </c>
      <c r="C148" s="109" t="s">
        <v>1643</v>
      </c>
      <c r="D148" s="106">
        <f>+'Alimentazione CE Ricavi'!K210</f>
        <v>2100716.1</v>
      </c>
      <c r="E148" s="106">
        <f>+'Alimentazione CE Ricavi'!N210</f>
        <v>1737503.01</v>
      </c>
      <c r="F148" s="71"/>
      <c r="G148" s="222"/>
      <c r="H148" s="107"/>
      <c r="J148" s="103"/>
    </row>
    <row r="149" spans="1:10" ht="25.5">
      <c r="A149" s="213"/>
      <c r="B149" s="108" t="s">
        <v>435</v>
      </c>
      <c r="C149" s="109" t="s">
        <v>1644</v>
      </c>
      <c r="D149" s="106">
        <f>+'Alimentazione CE Ricavi'!K211</f>
        <v>182378.96</v>
      </c>
      <c r="E149" s="106">
        <f>+'Alimentazione CE Ricavi'!N211</f>
        <v>185533.9</v>
      </c>
      <c r="F149" s="71"/>
      <c r="G149" s="222"/>
      <c r="H149" s="107"/>
      <c r="J149" s="103"/>
    </row>
    <row r="150" spans="1:10" ht="25.5">
      <c r="A150" s="213"/>
      <c r="B150" s="108" t="s">
        <v>437</v>
      </c>
      <c r="C150" s="109" t="s">
        <v>1645</v>
      </c>
      <c r="D150" s="106">
        <f>+'Alimentazione CE Ricavi'!K212</f>
        <v>4266.84</v>
      </c>
      <c r="E150" s="106">
        <f>+'Alimentazione CE Ricavi'!N212</f>
        <v>0</v>
      </c>
      <c r="F150" s="71"/>
      <c r="G150" s="222"/>
      <c r="H150" s="107"/>
      <c r="J150" s="103"/>
    </row>
    <row r="151" spans="1:10" ht="25.5">
      <c r="A151" s="213"/>
      <c r="B151" s="108" t="s">
        <v>439</v>
      </c>
      <c r="C151" s="109" t="s">
        <v>1646</v>
      </c>
      <c r="D151" s="106">
        <f>+'Alimentazione CE Ricavi'!K213</f>
        <v>3016.11</v>
      </c>
      <c r="E151" s="106">
        <f>+'Alimentazione CE Ricavi'!N213</f>
        <v>16467.14</v>
      </c>
      <c r="F151" s="71"/>
      <c r="G151" s="222"/>
      <c r="H151" s="107"/>
      <c r="J151" s="103"/>
    </row>
    <row r="152" spans="1:10" ht="25.5">
      <c r="A152" s="213"/>
      <c r="B152" s="108" t="s">
        <v>441</v>
      </c>
      <c r="C152" s="109" t="s">
        <v>1647</v>
      </c>
      <c r="D152" s="106">
        <f>+'Alimentazione CE Ricavi'!K214</f>
        <v>649625.23</v>
      </c>
      <c r="E152" s="106">
        <f>+'Alimentazione CE Ricavi'!N214</f>
        <v>523277.91</v>
      </c>
      <c r="F152" s="71"/>
      <c r="G152" s="222"/>
      <c r="H152" s="107"/>
      <c r="J152" s="103"/>
    </row>
    <row r="153" spans="1:10" ht="25.5">
      <c r="A153" s="213"/>
      <c r="B153" s="135" t="s">
        <v>442</v>
      </c>
      <c r="C153" s="136" t="s">
        <v>1648</v>
      </c>
      <c r="D153" s="137">
        <f>+'Alimentazione CE Ricavi'!K215</f>
        <v>27540.19</v>
      </c>
      <c r="E153" s="137">
        <f>+'Alimentazione CE Ricavi'!N215</f>
        <v>7864.95</v>
      </c>
      <c r="F153" s="71"/>
      <c r="G153" s="222"/>
      <c r="H153" s="107"/>
      <c r="J153" s="103"/>
    </row>
    <row r="154" spans="1:10" ht="18.75">
      <c r="A154" s="213"/>
      <c r="B154" s="135" t="s">
        <v>443</v>
      </c>
      <c r="C154" s="136" t="s">
        <v>1649</v>
      </c>
      <c r="D154" s="137">
        <f t="shared" ref="D154" si="52">+D155+D156+D157</f>
        <v>122631.07</v>
      </c>
      <c r="E154" s="137">
        <f t="shared" ref="E154" si="53">+E155+E156+E157</f>
        <v>287710.53000000003</v>
      </c>
      <c r="F154" s="71" t="s">
        <v>2118</v>
      </c>
      <c r="G154" s="222"/>
      <c r="H154" s="107"/>
      <c r="J154" s="103"/>
    </row>
    <row r="155" spans="1:10" ht="18.75">
      <c r="A155" s="213"/>
      <c r="B155" s="108" t="s">
        <v>445</v>
      </c>
      <c r="C155" s="109" t="s">
        <v>1650</v>
      </c>
      <c r="D155" s="106">
        <f>+'Alimentazione CE Ricavi'!K218+'Alimentazione CE Ricavi'!K219+'Alimentazione CE Ricavi'!K220</f>
        <v>0</v>
      </c>
      <c r="E155" s="106">
        <f>+'Alimentazione CE Ricavi'!N218+'Alimentazione CE Ricavi'!N219+'Alimentazione CE Ricavi'!N220</f>
        <v>0</v>
      </c>
      <c r="F155" s="71"/>
      <c r="G155" s="222"/>
      <c r="H155" s="107"/>
      <c r="J155" s="103"/>
    </row>
    <row r="156" spans="1:10" ht="25.5">
      <c r="A156" s="213"/>
      <c r="B156" s="108" t="s">
        <v>450</v>
      </c>
      <c r="C156" s="109" t="s">
        <v>1651</v>
      </c>
      <c r="D156" s="106">
        <f>+'Alimentazione CE Ricavi'!K222+'Alimentazione CE Ricavi'!K223+'Alimentazione CE Ricavi'!K224</f>
        <v>0</v>
      </c>
      <c r="E156" s="106">
        <f>+'Alimentazione CE Ricavi'!N222+'Alimentazione CE Ricavi'!N223+'Alimentazione CE Ricavi'!N224</f>
        <v>1359.02</v>
      </c>
      <c r="F156" s="71"/>
      <c r="G156" s="222"/>
      <c r="H156" s="107"/>
      <c r="J156" s="103"/>
    </row>
    <row r="157" spans="1:10" ht="18.75">
      <c r="A157" s="213"/>
      <c r="B157" s="108" t="s">
        <v>455</v>
      </c>
      <c r="C157" s="109" t="s">
        <v>1652</v>
      </c>
      <c r="D157" s="106">
        <f>+'Alimentazione CE Ricavi'!K226+'Alimentazione CE Ricavi'!K227+'Alimentazione CE Ricavi'!K228</f>
        <v>122631.07</v>
      </c>
      <c r="E157" s="106">
        <f>+'Alimentazione CE Ricavi'!N226+'Alimentazione CE Ricavi'!N227+'Alimentazione CE Ricavi'!N228</f>
        <v>286351.51</v>
      </c>
      <c r="F157" s="71"/>
      <c r="G157" s="222"/>
      <c r="H157" s="107"/>
      <c r="J157" s="103"/>
    </row>
    <row r="158" spans="1:10" ht="18.75">
      <c r="A158" s="213"/>
      <c r="B158" s="138" t="s">
        <v>1653</v>
      </c>
      <c r="C158" s="139" t="s">
        <v>1654</v>
      </c>
      <c r="D158" s="140">
        <f t="shared" ref="D158" si="54">+D154+D153+D146+D142+D121+D66+D60+D57+D26</f>
        <v>97658609.559999987</v>
      </c>
      <c r="E158" s="140">
        <f t="shared" ref="E158" si="55">+E154+E153+E146+E142+E121+E66+E60+E57+E26</f>
        <v>95621598.149999991</v>
      </c>
      <c r="F158" s="71" t="s">
        <v>2118</v>
      </c>
      <c r="G158" s="222"/>
      <c r="H158" s="107"/>
      <c r="J158" s="103"/>
    </row>
    <row r="159" spans="1:10" ht="18.75">
      <c r="A159" s="213"/>
      <c r="B159" s="151"/>
      <c r="C159" s="155" t="s">
        <v>1655</v>
      </c>
      <c r="D159" s="153"/>
      <c r="E159" s="153"/>
      <c r="F159" s="71"/>
      <c r="G159" s="222"/>
      <c r="H159" s="107"/>
      <c r="J159" s="103"/>
    </row>
    <row r="160" spans="1:10" ht="18.75">
      <c r="A160" s="213"/>
      <c r="B160" s="135" t="s">
        <v>536</v>
      </c>
      <c r="C160" s="136" t="s">
        <v>1656</v>
      </c>
      <c r="D160" s="137">
        <f>+D161+D191</f>
        <v>12973371.039999999</v>
      </c>
      <c r="E160" s="137">
        <f>+E161+E191</f>
        <v>14636790.390000002</v>
      </c>
      <c r="F160" s="71" t="s">
        <v>2118</v>
      </c>
      <c r="G160" s="222"/>
      <c r="H160" s="107"/>
      <c r="J160" s="103"/>
    </row>
    <row r="161" spans="1:10" ht="18.75">
      <c r="A161" s="213"/>
      <c r="B161" s="130" t="s">
        <v>538</v>
      </c>
      <c r="C161" s="131" t="s">
        <v>1657</v>
      </c>
      <c r="D161" s="129">
        <f t="shared" ref="D161" si="56">+D162+D170+D174+D178+D179+D180+D181+D182+D183</f>
        <v>12480843.02</v>
      </c>
      <c r="E161" s="129">
        <f t="shared" ref="E161" si="57">+E162+E170+E174+E178+E179+E180+E181+E182+E183</f>
        <v>14150077.260000002</v>
      </c>
      <c r="F161" s="71" t="s">
        <v>2118</v>
      </c>
      <c r="G161" s="222"/>
      <c r="H161" s="107"/>
      <c r="J161" s="103"/>
    </row>
    <row r="162" spans="1:10" ht="18.75">
      <c r="A162" s="213"/>
      <c r="B162" s="141" t="s">
        <v>540</v>
      </c>
      <c r="C162" s="142" t="s">
        <v>1658</v>
      </c>
      <c r="D162" s="143">
        <f t="shared" ref="D162" si="58">SUM(D163:D166)</f>
        <v>602693.18999999994</v>
      </c>
      <c r="E162" s="143">
        <f t="shared" ref="E162" si="59">SUM(E163:E166)</f>
        <v>1855673.7</v>
      </c>
      <c r="F162" s="71" t="s">
        <v>2118</v>
      </c>
      <c r="G162" s="222"/>
      <c r="H162" s="107"/>
      <c r="J162" s="103"/>
    </row>
    <row r="163" spans="1:10" ht="38.25">
      <c r="A163" s="215"/>
      <c r="B163" s="112" t="s">
        <v>542</v>
      </c>
      <c r="C163" s="113" t="s">
        <v>1659</v>
      </c>
      <c r="D163" s="106">
        <f>ROUND('Alimentazione CE Costi'!K6+'Alimentazione CE Costi'!K7,2)</f>
        <v>465863.17</v>
      </c>
      <c r="E163" s="106">
        <f>ROUND('Alimentazione CE Costi'!N6+'Alimentazione CE Costi'!N7,2)</f>
        <v>1758868.4</v>
      </c>
      <c r="F163" s="356"/>
      <c r="G163" s="222"/>
      <c r="H163" s="107"/>
      <c r="J163" s="103"/>
    </row>
    <row r="164" spans="1:10" ht="18.75">
      <c r="A164" s="215"/>
      <c r="B164" s="112" t="s">
        <v>545</v>
      </c>
      <c r="C164" s="113" t="s">
        <v>1660</v>
      </c>
      <c r="D164" s="106">
        <f>ROUND('Alimentazione CE Costi'!K8+'Alimentazione CE Costi'!K9,2)</f>
        <v>29988.34</v>
      </c>
      <c r="E164" s="106">
        <f>ROUND('Alimentazione CE Costi'!N8+'Alimentazione CE Costi'!N9,2)</f>
        <v>24319.439999999999</v>
      </c>
      <c r="F164" s="356"/>
      <c r="G164" s="222"/>
      <c r="H164" s="107"/>
      <c r="J164" s="103"/>
    </row>
    <row r="165" spans="1:10" ht="18.75">
      <c r="A165" s="215"/>
      <c r="B165" s="112" t="s">
        <v>547</v>
      </c>
      <c r="C165" s="113" t="s">
        <v>1661</v>
      </c>
      <c r="D165" s="106">
        <f>ROUND('Alimentazione CE Costi'!K10,2)</f>
        <v>106841.68</v>
      </c>
      <c r="E165" s="106">
        <f>ROUND('Alimentazione CE Costi'!N10,2)</f>
        <v>72485.86</v>
      </c>
      <c r="F165" s="356"/>
      <c r="G165" s="222"/>
      <c r="H165" s="107"/>
      <c r="J165" s="103"/>
    </row>
    <row r="166" spans="1:10" ht="18.75">
      <c r="A166" s="213"/>
      <c r="B166" s="144" t="s">
        <v>549</v>
      </c>
      <c r="C166" s="145" t="s">
        <v>1662</v>
      </c>
      <c r="D166" s="146">
        <f t="shared" ref="D166" si="60">SUM(D167:D169)</f>
        <v>0</v>
      </c>
      <c r="E166" s="146">
        <f t="shared" ref="E166" si="61">SUM(E167:E169)</f>
        <v>0</v>
      </c>
      <c r="F166" s="71" t="s">
        <v>2118</v>
      </c>
      <c r="G166" s="222"/>
      <c r="H166" s="107"/>
      <c r="J166" s="103"/>
    </row>
    <row r="167" spans="1:10" ht="38.25">
      <c r="A167" s="215" t="s">
        <v>1530</v>
      </c>
      <c r="B167" s="112" t="s">
        <v>551</v>
      </c>
      <c r="C167" s="113" t="s">
        <v>1663</v>
      </c>
      <c r="D167" s="106">
        <f>ROUND('Alimentazione CE Costi'!K12,2)</f>
        <v>0</v>
      </c>
      <c r="E167" s="106">
        <f>ROUND('Alimentazione CE Costi'!N12,2)</f>
        <v>0</v>
      </c>
      <c r="F167" s="356"/>
      <c r="G167" s="222"/>
      <c r="H167" s="107"/>
      <c r="J167" s="103"/>
    </row>
    <row r="168" spans="1:10" ht="38.25">
      <c r="A168" s="215" t="s">
        <v>1575</v>
      </c>
      <c r="B168" s="112" t="s">
        <v>553</v>
      </c>
      <c r="C168" s="113" t="s">
        <v>1664</v>
      </c>
      <c r="D168" s="106">
        <f>ROUND('Alimentazione CE Costi'!K13,2)</f>
        <v>0</v>
      </c>
      <c r="E168" s="106">
        <f>ROUND('Alimentazione CE Costi'!N13,2)</f>
        <v>0</v>
      </c>
      <c r="F168" s="356"/>
      <c r="G168" s="222"/>
      <c r="H168" s="107"/>
      <c r="J168" s="103"/>
    </row>
    <row r="169" spans="1:10" ht="25.5">
      <c r="A169" s="215"/>
      <c r="B169" s="112" t="s">
        <v>555</v>
      </c>
      <c r="C169" s="113" t="s">
        <v>1665</v>
      </c>
      <c r="D169" s="106">
        <f>ROUND('Alimentazione CE Costi'!K14,2)</f>
        <v>0</v>
      </c>
      <c r="E169" s="106">
        <f>ROUND('Alimentazione CE Costi'!N14,2)</f>
        <v>0</v>
      </c>
      <c r="F169" s="356"/>
      <c r="G169" s="222"/>
      <c r="H169" s="107"/>
      <c r="J169" s="103"/>
    </row>
    <row r="170" spans="1:10" ht="18.75">
      <c r="A170" s="213"/>
      <c r="B170" s="141" t="s">
        <v>557</v>
      </c>
      <c r="C170" s="142" t="s">
        <v>1666</v>
      </c>
      <c r="D170" s="143">
        <f t="shared" ref="D170" si="62">SUM(D171:D173)</f>
        <v>0</v>
      </c>
      <c r="E170" s="143">
        <f t="shared" ref="E170" si="63">SUM(E171:E173)</f>
        <v>0</v>
      </c>
      <c r="F170" s="71" t="s">
        <v>2118</v>
      </c>
      <c r="G170" s="222"/>
      <c r="H170" s="107"/>
      <c r="J170" s="103"/>
    </row>
    <row r="171" spans="1:10" ht="25.5">
      <c r="A171" s="213" t="s">
        <v>1530</v>
      </c>
      <c r="B171" s="112" t="s">
        <v>559</v>
      </c>
      <c r="C171" s="113" t="s">
        <v>1667</v>
      </c>
      <c r="D171" s="106">
        <f>ROUND('Alimentazione CE Costi'!K16,2)</f>
        <v>0</v>
      </c>
      <c r="E171" s="106">
        <f>ROUND('Alimentazione CE Costi'!N16,2)</f>
        <v>0</v>
      </c>
      <c r="F171" s="71"/>
      <c r="G171" s="222"/>
      <c r="H171" s="107"/>
      <c r="J171" s="103"/>
    </row>
    <row r="172" spans="1:10" ht="25.5">
      <c r="A172" s="213" t="s">
        <v>1575</v>
      </c>
      <c r="B172" s="112" t="s">
        <v>561</v>
      </c>
      <c r="C172" s="113" t="s">
        <v>1668</v>
      </c>
      <c r="D172" s="106">
        <f>ROUND('Alimentazione CE Costi'!K17,2)</f>
        <v>0</v>
      </c>
      <c r="E172" s="106">
        <f>ROUND('Alimentazione CE Costi'!N17,2)</f>
        <v>0</v>
      </c>
      <c r="F172" s="71"/>
      <c r="G172" s="222"/>
      <c r="H172" s="107"/>
      <c r="J172" s="103"/>
    </row>
    <row r="173" spans="1:10" ht="18.75">
      <c r="A173" s="213"/>
      <c r="B173" s="112" t="s">
        <v>563</v>
      </c>
      <c r="C173" s="113" t="s">
        <v>1669</v>
      </c>
      <c r="D173" s="106">
        <f>ROUND('Alimentazione CE Costi'!K18,2)</f>
        <v>0</v>
      </c>
      <c r="E173" s="106">
        <f>ROUND('Alimentazione CE Costi'!N18,2)</f>
        <v>0</v>
      </c>
      <c r="F173" s="71"/>
      <c r="G173" s="222"/>
      <c r="H173" s="107"/>
      <c r="J173" s="103"/>
    </row>
    <row r="174" spans="1:10" ht="18.75">
      <c r="A174" s="213"/>
      <c r="B174" s="141" t="s">
        <v>565</v>
      </c>
      <c r="C174" s="142" t="s">
        <v>1670</v>
      </c>
      <c r="D174" s="143">
        <f t="shared" ref="D174" si="64">SUM(D175:D177)</f>
        <v>6230893.5999999996</v>
      </c>
      <c r="E174" s="143">
        <f t="shared" ref="E174" si="65">SUM(E175:E177)</f>
        <v>7039343.8599999994</v>
      </c>
      <c r="F174" s="358" t="s">
        <v>2118</v>
      </c>
      <c r="G174" s="222"/>
      <c r="H174" s="107"/>
      <c r="J174" s="103"/>
    </row>
    <row r="175" spans="1:10" ht="18.75">
      <c r="A175" s="213"/>
      <c r="B175" s="112" t="s">
        <v>567</v>
      </c>
      <c r="C175" s="113" t="s">
        <v>1671</v>
      </c>
      <c r="D175" s="106">
        <f>ROUND('Alimentazione CE Costi'!K20+'Alimentazione CE Costi'!K21,2)</f>
        <v>2404190.39</v>
      </c>
      <c r="E175" s="106">
        <f>ROUND('Alimentazione CE Costi'!N20+'Alimentazione CE Costi'!N21,2)</f>
        <v>2582133.04</v>
      </c>
      <c r="F175" s="71"/>
      <c r="G175" s="222"/>
      <c r="H175" s="107"/>
      <c r="J175" s="103"/>
    </row>
    <row r="176" spans="1:10" ht="18.75">
      <c r="A176" s="213"/>
      <c r="B176" s="112" t="s">
        <v>569</v>
      </c>
      <c r="C176" s="113" t="s">
        <v>1672</v>
      </c>
      <c r="D176" s="106">
        <f>ROUND('Alimentazione CE Costi'!K22+'Alimentazione CE Costi'!K23,2)</f>
        <v>242944</v>
      </c>
      <c r="E176" s="106">
        <f>ROUND('Alimentazione CE Costi'!N22+'Alimentazione CE Costi'!N23,2)</f>
        <v>353496</v>
      </c>
      <c r="F176" s="71"/>
      <c r="G176" s="222"/>
      <c r="H176" s="107"/>
      <c r="J176" s="103"/>
    </row>
    <row r="177" spans="1:10" ht="18.75">
      <c r="A177" s="213"/>
      <c r="B177" s="112" t="s">
        <v>571</v>
      </c>
      <c r="C177" s="113" t="s">
        <v>1673</v>
      </c>
      <c r="D177" s="106">
        <f>ROUND('Alimentazione CE Costi'!K24+'Alimentazione CE Costi'!K25,2)</f>
        <v>3583759.21</v>
      </c>
      <c r="E177" s="106">
        <f>ROUND('Alimentazione CE Costi'!N24+'Alimentazione CE Costi'!N25,2)</f>
        <v>4103714.82</v>
      </c>
      <c r="F177" s="71"/>
      <c r="G177" s="222"/>
      <c r="H177" s="107"/>
      <c r="J177" s="103"/>
    </row>
    <row r="178" spans="1:10" ht="18.75">
      <c r="A178" s="213"/>
      <c r="B178" s="110" t="s">
        <v>573</v>
      </c>
      <c r="C178" s="111" t="s">
        <v>1674</v>
      </c>
      <c r="D178" s="116">
        <f>ROUND('Alimentazione CE Costi'!K26+'Alimentazione CE Costi'!K27,2)</f>
        <v>2451.59</v>
      </c>
      <c r="E178" s="116">
        <f>ROUND('Alimentazione CE Costi'!N26+'Alimentazione CE Costi'!N27,2)</f>
        <v>3112.01</v>
      </c>
      <c r="F178" s="356"/>
      <c r="G178" s="222"/>
      <c r="H178" s="107"/>
      <c r="J178" s="103"/>
    </row>
    <row r="179" spans="1:10" ht="18.75">
      <c r="A179" s="213"/>
      <c r="B179" s="110" t="s">
        <v>575</v>
      </c>
      <c r="C179" s="111" t="s">
        <v>1675</v>
      </c>
      <c r="D179" s="116">
        <f>ROUND('Alimentazione CE Costi'!K28+'Alimentazione CE Costi'!K29,2)</f>
        <v>1169.93</v>
      </c>
      <c r="E179" s="116">
        <f>ROUND('Alimentazione CE Costi'!N28+'Alimentazione CE Costi'!N29,2)</f>
        <v>333.49</v>
      </c>
      <c r="F179" s="356"/>
      <c r="G179" s="222"/>
      <c r="H179" s="107"/>
      <c r="J179" s="103"/>
    </row>
    <row r="180" spans="1:10" ht="18.75">
      <c r="A180" s="213"/>
      <c r="B180" s="110" t="s">
        <v>577</v>
      </c>
      <c r="C180" s="111" t="s">
        <v>1676</v>
      </c>
      <c r="D180" s="116">
        <f>ROUND('Alimentazione CE Costi'!K30+'Alimentazione CE Costi'!K31,2)</f>
        <v>52453.16</v>
      </c>
      <c r="E180" s="116">
        <f>ROUND('Alimentazione CE Costi'!N30+'Alimentazione CE Costi'!N31,2)</f>
        <v>45057.06</v>
      </c>
      <c r="F180" s="356"/>
      <c r="G180" s="222"/>
      <c r="H180" s="107"/>
      <c r="J180" s="103"/>
    </row>
    <row r="181" spans="1:10" ht="18.75">
      <c r="A181" s="213"/>
      <c r="B181" s="110" t="s">
        <v>579</v>
      </c>
      <c r="C181" s="111" t="s">
        <v>1677</v>
      </c>
      <c r="D181" s="116">
        <f>ROUND('Alimentazione CE Costi'!K32+'Alimentazione CE Costi'!K33,2)</f>
        <v>0</v>
      </c>
      <c r="E181" s="116">
        <f>ROUND('Alimentazione CE Costi'!N32+'Alimentazione CE Costi'!N33,2)</f>
        <v>0</v>
      </c>
      <c r="F181" s="356"/>
      <c r="G181" s="222"/>
      <c r="H181" s="107"/>
      <c r="J181" s="103"/>
    </row>
    <row r="182" spans="1:10" ht="18.75">
      <c r="A182" s="213"/>
      <c r="B182" s="110" t="s">
        <v>581</v>
      </c>
      <c r="C182" s="111" t="s">
        <v>1678</v>
      </c>
      <c r="D182" s="116">
        <f>ROUND('Alimentazione CE Costi'!K34+'Alimentazione CE Costi'!K35,2)</f>
        <v>724296.78</v>
      </c>
      <c r="E182" s="116">
        <f>ROUND('Alimentazione CE Costi'!N34+'Alimentazione CE Costi'!N35,2)</f>
        <v>423379.46</v>
      </c>
      <c r="F182" s="356"/>
      <c r="G182" s="222"/>
      <c r="H182" s="107"/>
      <c r="J182" s="103"/>
    </row>
    <row r="183" spans="1:10" ht="25.5">
      <c r="A183" s="213" t="s">
        <v>1530</v>
      </c>
      <c r="B183" s="141" t="s">
        <v>583</v>
      </c>
      <c r="C183" s="142" t="s">
        <v>1679</v>
      </c>
      <c r="D183" s="143">
        <f>SUM(D184:D190)</f>
        <v>4866884.7700000005</v>
      </c>
      <c r="E183" s="143">
        <f>SUM(E184:E190)</f>
        <v>4783177.6800000006</v>
      </c>
      <c r="F183" s="356" t="s">
        <v>2118</v>
      </c>
      <c r="G183" s="222"/>
      <c r="J183" s="103"/>
    </row>
    <row r="184" spans="1:10" ht="18.75">
      <c r="A184" s="213" t="s">
        <v>1530</v>
      </c>
      <c r="B184" s="110" t="s">
        <v>584</v>
      </c>
      <c r="C184" s="111" t="s">
        <v>1680</v>
      </c>
      <c r="D184" s="116">
        <f>ROUND('Alimentazione CE Costi'!K37+'Alimentazione CE Costi'!K38+'Alimentazione CE Costi'!K39,2)</f>
        <v>3151360.91</v>
      </c>
      <c r="E184" s="116">
        <f>ROUND('Alimentazione CE Costi'!N37+'Alimentazione CE Costi'!N38+'Alimentazione CE Costi'!N39,2)</f>
        <v>3021262.15</v>
      </c>
      <c r="F184" s="356"/>
      <c r="G184" s="222"/>
      <c r="J184" s="103"/>
    </row>
    <row r="185" spans="1:10" ht="18.75">
      <c r="A185" s="213" t="s">
        <v>1530</v>
      </c>
      <c r="B185" s="110" t="s">
        <v>585</v>
      </c>
      <c r="C185" s="111" t="s">
        <v>1681</v>
      </c>
      <c r="D185" s="116">
        <f>ROUND('Alimentazione CE Costi'!K40+'Alimentazione CE Costi'!K41+'Alimentazione CE Costi'!K42,2)</f>
        <v>1641698.4</v>
      </c>
      <c r="E185" s="116">
        <f>ROUND('Alimentazione CE Costi'!N40+'Alimentazione CE Costi'!N41+'Alimentazione CE Costi'!N42,2)</f>
        <v>1673288.6</v>
      </c>
      <c r="F185" s="356"/>
      <c r="G185" s="222"/>
      <c r="J185" s="103"/>
    </row>
    <row r="186" spans="1:10" ht="18.75">
      <c r="A186" s="213" t="s">
        <v>1530</v>
      </c>
      <c r="B186" s="110" t="s">
        <v>586</v>
      </c>
      <c r="C186" s="111" t="s">
        <v>1682</v>
      </c>
      <c r="D186" s="116">
        <f>ROUND('Alimentazione CE Costi'!K43,2)</f>
        <v>12327.81</v>
      </c>
      <c r="E186" s="116">
        <f>ROUND('Alimentazione CE Costi'!N43,2)</f>
        <v>14767.4</v>
      </c>
      <c r="F186" s="356"/>
      <c r="G186" s="222"/>
      <c r="J186" s="103"/>
    </row>
    <row r="187" spans="1:10" ht="18.75">
      <c r="A187" s="213" t="s">
        <v>1530</v>
      </c>
      <c r="B187" s="110" t="s">
        <v>587</v>
      </c>
      <c r="C187" s="111" t="s">
        <v>1683</v>
      </c>
      <c r="D187" s="116">
        <f>ROUND('Alimentazione CE Costi'!K44,2)</f>
        <v>11697.9</v>
      </c>
      <c r="E187" s="116">
        <f>ROUND('Alimentazione CE Costi'!N44,2)</f>
        <v>15634.62</v>
      </c>
      <c r="F187" s="356"/>
      <c r="G187" s="222"/>
      <c r="J187" s="103"/>
    </row>
    <row r="188" spans="1:10" ht="18.75">
      <c r="A188" s="213" t="s">
        <v>1530</v>
      </c>
      <c r="B188" s="110" t="s">
        <v>588</v>
      </c>
      <c r="C188" s="111" t="s">
        <v>1684</v>
      </c>
      <c r="D188" s="116">
        <f>ROUND('Alimentazione CE Costi'!K45,2)</f>
        <v>0</v>
      </c>
      <c r="E188" s="116">
        <f>ROUND('Alimentazione CE Costi'!N45,2)</f>
        <v>2373</v>
      </c>
      <c r="F188" s="356"/>
      <c r="G188" s="222"/>
      <c r="J188" s="103"/>
    </row>
    <row r="189" spans="1:10" ht="18.75">
      <c r="A189" s="213" t="s">
        <v>1530</v>
      </c>
      <c r="B189" s="110" t="s">
        <v>589</v>
      </c>
      <c r="C189" s="111" t="s">
        <v>1685</v>
      </c>
      <c r="D189" s="116">
        <f>ROUND('Alimentazione CE Costi'!K46,2)</f>
        <v>0</v>
      </c>
      <c r="E189" s="116">
        <f>ROUND('Alimentazione CE Costi'!N46,2)</f>
        <v>0</v>
      </c>
      <c r="F189" s="356"/>
      <c r="G189" s="222"/>
      <c r="J189" s="103"/>
    </row>
    <row r="190" spans="1:10" ht="18.75">
      <c r="A190" s="213" t="s">
        <v>1530</v>
      </c>
      <c r="B190" s="110" t="s">
        <v>591</v>
      </c>
      <c r="C190" s="111" t="s">
        <v>1686</v>
      </c>
      <c r="D190" s="116">
        <f>ROUND('Alimentazione CE Costi'!K47,2)</f>
        <v>49799.75</v>
      </c>
      <c r="E190" s="116">
        <f>ROUND('Alimentazione CE Costi'!N47,2)</f>
        <v>55851.91</v>
      </c>
      <c r="F190" s="356"/>
      <c r="G190" s="222"/>
      <c r="J190" s="103"/>
    </row>
    <row r="191" spans="1:10" ht="18.75">
      <c r="A191" s="213"/>
      <c r="B191" s="130" t="s">
        <v>593</v>
      </c>
      <c r="C191" s="131" t="s">
        <v>1687</v>
      </c>
      <c r="D191" s="129">
        <f t="shared" ref="D191" si="66">SUM(D192:D198)</f>
        <v>492528.02</v>
      </c>
      <c r="E191" s="129">
        <f t="shared" ref="E191" si="67">SUM(E192:E198)</f>
        <v>486713.13</v>
      </c>
      <c r="F191" s="71" t="s">
        <v>2118</v>
      </c>
      <c r="G191" s="222"/>
      <c r="H191" s="107"/>
      <c r="J191" s="103"/>
    </row>
    <row r="192" spans="1:10" ht="18.75">
      <c r="A192" s="213"/>
      <c r="B192" s="110" t="s">
        <v>595</v>
      </c>
      <c r="C192" s="111" t="s">
        <v>1688</v>
      </c>
      <c r="D192" s="106">
        <f>ROUND('Alimentazione CE Costi'!K49+'Alimentazione CE Costi'!K50,2)</f>
        <v>5947.73</v>
      </c>
      <c r="E192" s="106">
        <f>ROUND('Alimentazione CE Costi'!N49+'Alimentazione CE Costi'!N50,2)</f>
        <v>6668.39</v>
      </c>
      <c r="F192" s="71"/>
      <c r="G192" s="222"/>
      <c r="H192" s="107"/>
      <c r="J192" s="103"/>
    </row>
    <row r="193" spans="1:10" ht="25.5">
      <c r="A193" s="213"/>
      <c r="B193" s="110" t="s">
        <v>597</v>
      </c>
      <c r="C193" s="111" t="s">
        <v>1689</v>
      </c>
      <c r="D193" s="106">
        <f>ROUND('Alimentazione CE Costi'!K51+'Alimentazione CE Costi'!K52,2)</f>
        <v>34136.080000000002</v>
      </c>
      <c r="E193" s="106">
        <f>ROUND('Alimentazione CE Costi'!N51+'Alimentazione CE Costi'!N52,2)</f>
        <v>31101.99</v>
      </c>
      <c r="F193" s="71"/>
      <c r="G193" s="222"/>
      <c r="H193" s="107"/>
      <c r="J193" s="103"/>
    </row>
    <row r="194" spans="1:10" ht="18.75">
      <c r="A194" s="213"/>
      <c r="B194" s="110" t="s">
        <v>599</v>
      </c>
      <c r="C194" s="111" t="s">
        <v>1690</v>
      </c>
      <c r="D194" s="106">
        <f>ROUND('Alimentazione CE Costi'!K53+'Alimentazione CE Costi'!K54,2)</f>
        <v>7621.03</v>
      </c>
      <c r="E194" s="106">
        <f>ROUND('Alimentazione CE Costi'!N53+'Alimentazione CE Costi'!N54,2)</f>
        <v>9072.25</v>
      </c>
      <c r="F194" s="71"/>
      <c r="G194" s="222"/>
      <c r="H194" s="107"/>
      <c r="J194" s="103"/>
    </row>
    <row r="195" spans="1:10" ht="18.75">
      <c r="A195" s="213"/>
      <c r="B195" s="110" t="s">
        <v>601</v>
      </c>
      <c r="C195" s="111" t="s">
        <v>1691</v>
      </c>
      <c r="D195" s="106">
        <f>ROUND('Alimentazione CE Costi'!K56+'Alimentazione CE Costi'!K57+'Alimentazione CE Costi'!K58+'Alimentazione CE Costi'!K59,2)</f>
        <v>158274.79</v>
      </c>
      <c r="E195" s="106">
        <f>ROUND('Alimentazione CE Costi'!N56+'Alimentazione CE Costi'!N57+'Alimentazione CE Costi'!N58+'Alimentazione CE Costi'!N59,2)</f>
        <v>159725.03</v>
      </c>
      <c r="F195" s="71"/>
      <c r="G195" s="222"/>
      <c r="H195" s="107"/>
      <c r="J195" s="103"/>
    </row>
    <row r="196" spans="1:10" ht="18.75">
      <c r="A196" s="213"/>
      <c r="B196" s="110" t="s">
        <v>606</v>
      </c>
      <c r="C196" s="111" t="s">
        <v>1692</v>
      </c>
      <c r="D196" s="106">
        <f>ROUND('Alimentazione CE Costi'!K61+'Alimentazione CE Costi'!K62+'Alimentazione CE Costi'!K63,2)</f>
        <v>11430.74</v>
      </c>
      <c r="E196" s="106">
        <f>ROUND('Alimentazione CE Costi'!N61+'Alimentazione CE Costi'!N62+'Alimentazione CE Costi'!N63,2)</f>
        <v>21231.02</v>
      </c>
      <c r="F196" s="71"/>
      <c r="G196" s="222"/>
      <c r="H196" s="107"/>
      <c r="J196" s="103"/>
    </row>
    <row r="197" spans="1:10" ht="18.75">
      <c r="A197" s="213"/>
      <c r="B197" s="110" t="s">
        <v>610</v>
      </c>
      <c r="C197" s="111" t="s">
        <v>1693</v>
      </c>
      <c r="D197" s="106">
        <f>+ROUND('Alimentazione CE Costi'!K64+'Alimentazione CE Costi'!K65,2)</f>
        <v>97991.78</v>
      </c>
      <c r="E197" s="106">
        <f>+ROUND('Alimentazione CE Costi'!N64+'Alimentazione CE Costi'!N65,2)</f>
        <v>30704.91</v>
      </c>
      <c r="F197" s="71"/>
      <c r="G197" s="222"/>
      <c r="H197" s="107"/>
      <c r="J197" s="103"/>
    </row>
    <row r="198" spans="1:10" ht="25.5">
      <c r="A198" s="213" t="s">
        <v>1530</v>
      </c>
      <c r="B198" s="110" t="s">
        <v>612</v>
      </c>
      <c r="C198" s="111" t="s">
        <v>1694</v>
      </c>
      <c r="D198" s="106">
        <f>ROUND(SUM('Alimentazione CE Costi'!K67:K72),2)</f>
        <v>177125.87</v>
      </c>
      <c r="E198" s="106">
        <f>ROUND(SUM('Alimentazione CE Costi'!N67:N72),2)</f>
        <v>228209.54</v>
      </c>
      <c r="F198" s="71"/>
      <c r="G198" s="222"/>
      <c r="H198" s="107"/>
      <c r="J198" s="103"/>
    </row>
    <row r="199" spans="1:10" ht="18.75">
      <c r="A199" s="213"/>
      <c r="B199" s="135" t="s">
        <v>615</v>
      </c>
      <c r="C199" s="136" t="s">
        <v>1695</v>
      </c>
      <c r="D199" s="137">
        <f t="shared" ref="D199" si="68">+D200+D330</f>
        <v>19824239.710000001</v>
      </c>
      <c r="E199" s="137">
        <f t="shared" ref="E199" si="69">+E200+E330</f>
        <v>19230877.990000002</v>
      </c>
      <c r="F199" s="71" t="s">
        <v>2118</v>
      </c>
      <c r="G199" s="222"/>
      <c r="H199" s="107"/>
      <c r="J199" s="103"/>
    </row>
    <row r="200" spans="1:10" ht="18.75">
      <c r="A200" s="213"/>
      <c r="B200" s="130" t="s">
        <v>617</v>
      </c>
      <c r="C200" s="131" t="s">
        <v>1696</v>
      </c>
      <c r="D200" s="129">
        <f t="shared" ref="D200" si="70">+D201+D209+D213+D232+D238+D243+D248+D258+D264+D271+D277+D282+D291+D299+D307+D321+D329</f>
        <v>8171985.5299999993</v>
      </c>
      <c r="E200" s="129">
        <f t="shared" ref="E200" si="71">+E201+E209+E213+E232+E238+E243+E248+E258+E264+E271+E277+E282+E291+E299+E307+E321+E329</f>
        <v>8233346.5499999998</v>
      </c>
      <c r="F200" s="71" t="s">
        <v>2118</v>
      </c>
      <c r="G200" s="222"/>
      <c r="H200" s="107"/>
      <c r="J200" s="103"/>
    </row>
    <row r="201" spans="1:10" ht="25.5">
      <c r="A201" s="213"/>
      <c r="B201" s="156" t="s">
        <v>619</v>
      </c>
      <c r="C201" s="157" t="s">
        <v>1697</v>
      </c>
      <c r="D201" s="143">
        <f t="shared" ref="D201" si="72">+D202+D207+D208</f>
        <v>0</v>
      </c>
      <c r="E201" s="143">
        <f t="shared" ref="E201" si="73">+E202+E207+E208</f>
        <v>0</v>
      </c>
      <c r="F201" s="71" t="s">
        <v>2118</v>
      </c>
      <c r="G201" s="222"/>
      <c r="H201" s="107"/>
      <c r="J201" s="103"/>
    </row>
    <row r="202" spans="1:10" ht="18.75">
      <c r="A202" s="213"/>
      <c r="B202" s="147" t="s">
        <v>621</v>
      </c>
      <c r="C202" s="148" t="s">
        <v>1698</v>
      </c>
      <c r="D202" s="146">
        <f t="shared" ref="D202" si="74">SUM(D203:D206)</f>
        <v>0</v>
      </c>
      <c r="E202" s="146">
        <f t="shared" ref="E202" si="75">SUM(E203:E206)</f>
        <v>0</v>
      </c>
      <c r="F202" s="71" t="s">
        <v>2118</v>
      </c>
      <c r="G202" s="222"/>
      <c r="H202" s="107"/>
      <c r="J202" s="103"/>
    </row>
    <row r="203" spans="1:10" ht="18.75">
      <c r="A203" s="213"/>
      <c r="B203" s="110" t="s">
        <v>623</v>
      </c>
      <c r="C203" s="111" t="s">
        <v>1699</v>
      </c>
      <c r="D203" s="106">
        <f>+ROUND(SUM('Alimentazione CE Costi'!K78:K88),2)</f>
        <v>0</v>
      </c>
      <c r="E203" s="106">
        <f>+ROUND(SUM('Alimentazione CE Costi'!N78:N88),2)</f>
        <v>0</v>
      </c>
      <c r="F203" s="71"/>
      <c r="G203" s="222"/>
      <c r="H203" s="107"/>
      <c r="J203" s="103"/>
    </row>
    <row r="204" spans="1:10" ht="18.75">
      <c r="A204" s="213"/>
      <c r="B204" s="110" t="s">
        <v>636</v>
      </c>
      <c r="C204" s="111" t="s">
        <v>1700</v>
      </c>
      <c r="D204" s="106">
        <f>+ROUND(SUM('Alimentazione CE Costi'!K90:K100),2)</f>
        <v>0</v>
      </c>
      <c r="E204" s="106">
        <f>+ROUND(SUM('Alimentazione CE Costi'!N90:N100),2)</f>
        <v>0</v>
      </c>
      <c r="F204" s="71"/>
      <c r="G204" s="222"/>
      <c r="H204" s="107"/>
      <c r="J204" s="103"/>
    </row>
    <row r="205" spans="1:10" ht="18.75">
      <c r="A205" s="213"/>
      <c r="B205" s="110" t="s">
        <v>638</v>
      </c>
      <c r="C205" s="111" t="s">
        <v>1701</v>
      </c>
      <c r="D205" s="106">
        <f>+ROUND(SUM('Alimentazione CE Costi'!K102:K115),2)</f>
        <v>0</v>
      </c>
      <c r="E205" s="106">
        <f>+ROUND(SUM('Alimentazione CE Costi'!N102:N115),2)</f>
        <v>0</v>
      </c>
      <c r="F205" s="71"/>
      <c r="G205" s="222"/>
      <c r="H205" s="107"/>
      <c r="J205" s="103"/>
    </row>
    <row r="206" spans="1:10" ht="25.5">
      <c r="A206" s="213"/>
      <c r="B206" s="110" t="s">
        <v>654</v>
      </c>
      <c r="C206" s="111" t="s">
        <v>1702</v>
      </c>
      <c r="D206" s="106">
        <f>+ROUND(SUM('Alimentazione CE Costi'!K117:K124),2)</f>
        <v>0</v>
      </c>
      <c r="E206" s="106">
        <f>+ROUND(SUM('Alimentazione CE Costi'!N117:N124),2)</f>
        <v>0</v>
      </c>
      <c r="F206" s="71"/>
      <c r="G206" s="222"/>
      <c r="H206" s="107"/>
      <c r="J206" s="103"/>
    </row>
    <row r="207" spans="1:10" ht="25.5">
      <c r="A207" s="213" t="s">
        <v>1530</v>
      </c>
      <c r="B207" s="110" t="s">
        <v>658</v>
      </c>
      <c r="C207" s="111" t="s">
        <v>1703</v>
      </c>
      <c r="D207" s="106">
        <f>+'Alimentazione CE Costi'!K125</f>
        <v>0</v>
      </c>
      <c r="E207" s="106">
        <f>+'Alimentazione CE Costi'!N125</f>
        <v>0</v>
      </c>
      <c r="F207" s="71"/>
      <c r="G207" s="222"/>
      <c r="H207" s="107"/>
      <c r="J207" s="103"/>
    </row>
    <row r="208" spans="1:10" ht="25.5">
      <c r="A208" s="213" t="s">
        <v>1575</v>
      </c>
      <c r="B208" s="110" t="s">
        <v>660</v>
      </c>
      <c r="C208" s="111" t="s">
        <v>1704</v>
      </c>
      <c r="D208" s="106">
        <f>+'Alimentazione CE Costi'!K126</f>
        <v>0</v>
      </c>
      <c r="E208" s="106">
        <f>+'Alimentazione CE Costi'!N126</f>
        <v>0</v>
      </c>
      <c r="F208" s="71"/>
      <c r="G208" s="222"/>
      <c r="H208" s="107"/>
      <c r="J208" s="103"/>
    </row>
    <row r="209" spans="1:10" ht="18.75">
      <c r="A209" s="213"/>
      <c r="B209" s="156" t="s">
        <v>662</v>
      </c>
      <c r="C209" s="157" t="s">
        <v>1705</v>
      </c>
      <c r="D209" s="143">
        <f t="shared" ref="D209" si="76">+D210+D211+D212</f>
        <v>0</v>
      </c>
      <c r="E209" s="143">
        <f t="shared" ref="E209" si="77">+E210+E211+E212</f>
        <v>0</v>
      </c>
      <c r="F209" s="71" t="s">
        <v>2118</v>
      </c>
      <c r="G209" s="222"/>
      <c r="H209" s="107"/>
      <c r="J209" s="103"/>
    </row>
    <row r="210" spans="1:10" ht="18.75">
      <c r="A210" s="213"/>
      <c r="B210" s="110" t="s">
        <v>663</v>
      </c>
      <c r="C210" s="111" t="s">
        <v>1706</v>
      </c>
      <c r="D210" s="106">
        <f>+'Alimentazione CE Costi'!K129+'Alimentazione CE Costi'!K130</f>
        <v>0</v>
      </c>
      <c r="E210" s="106">
        <f>+'Alimentazione CE Costi'!N129+'Alimentazione CE Costi'!N130</f>
        <v>0</v>
      </c>
      <c r="F210" s="71"/>
      <c r="G210" s="222"/>
      <c r="H210" s="107"/>
      <c r="J210" s="103"/>
    </row>
    <row r="211" spans="1:10" ht="25.5">
      <c r="A211" s="213" t="s">
        <v>1530</v>
      </c>
      <c r="B211" s="110" t="s">
        <v>667</v>
      </c>
      <c r="C211" s="111" t="s">
        <v>1707</v>
      </c>
      <c r="D211" s="106">
        <f>+'Alimentazione CE Costi'!K131</f>
        <v>0</v>
      </c>
      <c r="E211" s="106">
        <f>+'Alimentazione CE Costi'!N131</f>
        <v>0</v>
      </c>
      <c r="F211" s="71"/>
      <c r="G211" s="222"/>
      <c r="H211" s="107"/>
      <c r="J211" s="103"/>
    </row>
    <row r="212" spans="1:10" ht="18.75">
      <c r="A212" s="215" t="s">
        <v>1575</v>
      </c>
      <c r="B212" s="110" t="s">
        <v>669</v>
      </c>
      <c r="C212" s="111" t="s">
        <v>1708</v>
      </c>
      <c r="D212" s="106">
        <f>+'Alimentazione CE Costi'!K132</f>
        <v>0</v>
      </c>
      <c r="E212" s="106">
        <f>+'Alimentazione CE Costi'!N132</f>
        <v>0</v>
      </c>
      <c r="F212" s="356"/>
      <c r="G212" s="222"/>
      <c r="H212" s="107"/>
      <c r="J212" s="103"/>
    </row>
    <row r="213" spans="1:10" ht="25.5">
      <c r="A213" s="215"/>
      <c r="B213" s="156" t="s">
        <v>671</v>
      </c>
      <c r="C213" s="157" t="s">
        <v>1709</v>
      </c>
      <c r="D213" s="143">
        <f t="shared" ref="D213" si="78">+D214+D215+D216+D217+D218+D219+D220+D221+D230+D231</f>
        <v>419859.55</v>
      </c>
      <c r="E213" s="143">
        <f t="shared" ref="E213" si="79">+E214+E215+E216+E217+E218+E219+E220+E221+E230+E231</f>
        <v>377142.89</v>
      </c>
      <c r="F213" s="71" t="s">
        <v>2118</v>
      </c>
      <c r="G213" s="222"/>
      <c r="H213" s="107"/>
      <c r="J213" s="103"/>
    </row>
    <row r="214" spans="1:10" ht="25.5">
      <c r="A214" s="215" t="s">
        <v>1530</v>
      </c>
      <c r="B214" s="110" t="s">
        <v>673</v>
      </c>
      <c r="C214" s="111" t="s">
        <v>1710</v>
      </c>
      <c r="D214" s="106">
        <f>+'Alimentazione CE Costi'!K135+'Alimentazione CE Costi'!K136</f>
        <v>419859.55</v>
      </c>
      <c r="E214" s="106">
        <f>+'Alimentazione CE Costi'!N135+'Alimentazione CE Costi'!N136</f>
        <v>377142.89</v>
      </c>
      <c r="F214" s="356"/>
      <c r="G214" s="222"/>
      <c r="H214" s="107"/>
      <c r="J214" s="103"/>
    </row>
    <row r="215" spans="1:10" ht="38.25">
      <c r="A215" s="215" t="s">
        <v>1530</v>
      </c>
      <c r="B215" s="110" t="s">
        <v>677</v>
      </c>
      <c r="C215" s="111" t="s">
        <v>1711</v>
      </c>
      <c r="D215" s="106">
        <f>+'Alimentazione CE Costi'!K137</f>
        <v>0</v>
      </c>
      <c r="E215" s="106">
        <f>+'Alimentazione CE Costi'!N137</f>
        <v>0</v>
      </c>
      <c r="F215" s="356"/>
      <c r="G215" s="222"/>
      <c r="H215" s="107"/>
      <c r="J215" s="103"/>
    </row>
    <row r="216" spans="1:10" ht="18.75">
      <c r="A216" s="215"/>
      <c r="B216" s="110" t="s">
        <v>679</v>
      </c>
      <c r="C216" s="111" t="s">
        <v>1712</v>
      </c>
      <c r="D216" s="106">
        <f>+'Alimentazione CE Costi'!K138</f>
        <v>0</v>
      </c>
      <c r="E216" s="106">
        <f>+'Alimentazione CE Costi'!N138</f>
        <v>0</v>
      </c>
      <c r="F216" s="356"/>
      <c r="G216" s="222"/>
      <c r="H216" s="107"/>
      <c r="J216" s="103"/>
    </row>
    <row r="217" spans="1:10" ht="25.5">
      <c r="A217" s="215"/>
      <c r="B217" s="110" t="s">
        <v>681</v>
      </c>
      <c r="C217" s="111" t="s">
        <v>1713</v>
      </c>
      <c r="D217" s="106">
        <f>+'Alimentazione CE Costi'!K139</f>
        <v>0</v>
      </c>
      <c r="E217" s="106">
        <f>+'Alimentazione CE Costi'!N139</f>
        <v>0</v>
      </c>
      <c r="F217" s="356"/>
      <c r="G217" s="222"/>
      <c r="H217" s="107"/>
      <c r="J217" s="103"/>
    </row>
    <row r="218" spans="1:10" ht="18.75">
      <c r="A218" s="215" t="s">
        <v>1575</v>
      </c>
      <c r="B218" s="110" t="s">
        <v>682</v>
      </c>
      <c r="C218" s="111" t="s">
        <v>1714</v>
      </c>
      <c r="D218" s="106">
        <f>+'Alimentazione CE Costi'!K141</f>
        <v>0</v>
      </c>
      <c r="E218" s="106">
        <f>+'Alimentazione CE Costi'!N141</f>
        <v>0</v>
      </c>
      <c r="F218" s="356"/>
      <c r="G218" s="222"/>
      <c r="H218" s="107"/>
      <c r="J218" s="103"/>
    </row>
    <row r="219" spans="1:10" ht="25.5">
      <c r="A219" s="215" t="s">
        <v>1575</v>
      </c>
      <c r="B219" s="110" t="s">
        <v>686</v>
      </c>
      <c r="C219" s="111" t="s">
        <v>1715</v>
      </c>
      <c r="D219" s="106">
        <f>+'Alimentazione CE Costi'!K142</f>
        <v>0</v>
      </c>
      <c r="E219" s="106">
        <f>+'Alimentazione CE Costi'!N142</f>
        <v>0</v>
      </c>
      <c r="F219" s="356"/>
      <c r="G219" s="222"/>
      <c r="H219" s="107"/>
      <c r="J219" s="103"/>
    </row>
    <row r="220" spans="1:10" ht="18.75">
      <c r="A220" s="215"/>
      <c r="B220" s="110" t="s">
        <v>688</v>
      </c>
      <c r="C220" s="111" t="s">
        <v>1716</v>
      </c>
      <c r="D220" s="106">
        <f>+ROUND(SUM('Alimentazione CE Costi'!K144:K150),2)</f>
        <v>0</v>
      </c>
      <c r="E220" s="106">
        <f>+ROUND(SUM('Alimentazione CE Costi'!N144:N150),2)</f>
        <v>0</v>
      </c>
      <c r="F220" s="356"/>
      <c r="G220" s="222"/>
      <c r="H220" s="107"/>
      <c r="J220" s="103"/>
    </row>
    <row r="221" spans="1:10" ht="18.75">
      <c r="A221" s="215"/>
      <c r="B221" s="147" t="s">
        <v>692</v>
      </c>
      <c r="C221" s="148" t="s">
        <v>1717</v>
      </c>
      <c r="D221" s="146">
        <f t="shared" ref="D221" si="80">SUM(D222:D229)</f>
        <v>0</v>
      </c>
      <c r="E221" s="146">
        <f t="shared" ref="E221" si="81">SUM(E222:E229)</f>
        <v>0</v>
      </c>
      <c r="F221" s="71" t="s">
        <v>2118</v>
      </c>
      <c r="G221" s="222"/>
      <c r="H221" s="107"/>
      <c r="J221" s="103"/>
    </row>
    <row r="222" spans="1:10" ht="25.5">
      <c r="A222" s="215"/>
      <c r="B222" s="112" t="s">
        <v>694</v>
      </c>
      <c r="C222" s="113" t="s">
        <v>1718</v>
      </c>
      <c r="D222" s="106">
        <f>+'Alimentazione CE Costi'!K152</f>
        <v>0</v>
      </c>
      <c r="E222" s="106">
        <f>+'Alimentazione CE Costi'!N152</f>
        <v>0</v>
      </c>
      <c r="F222" s="356"/>
      <c r="G222" s="222"/>
      <c r="H222" s="107"/>
      <c r="J222" s="103"/>
    </row>
    <row r="223" spans="1:10" ht="38.25">
      <c r="A223" s="215"/>
      <c r="B223" s="112" t="s">
        <v>696</v>
      </c>
      <c r="C223" s="113" t="s">
        <v>1719</v>
      </c>
      <c r="D223" s="106">
        <f>+'Alimentazione CE Costi'!K153</f>
        <v>0</v>
      </c>
      <c r="E223" s="106">
        <f>+'Alimentazione CE Costi'!N153</f>
        <v>0</v>
      </c>
      <c r="F223" s="356"/>
      <c r="G223" s="222"/>
      <c r="H223" s="107"/>
      <c r="J223" s="103"/>
    </row>
    <row r="224" spans="1:10" ht="25.5">
      <c r="A224" s="215"/>
      <c r="B224" s="112" t="s">
        <v>698</v>
      </c>
      <c r="C224" s="113" t="s">
        <v>1720</v>
      </c>
      <c r="D224" s="106">
        <f>+'Alimentazione CE Costi'!K154</f>
        <v>0</v>
      </c>
      <c r="E224" s="106">
        <f>+'Alimentazione CE Costi'!N154</f>
        <v>0</v>
      </c>
      <c r="F224" s="356"/>
      <c r="G224" s="222"/>
      <c r="H224" s="107"/>
      <c r="J224" s="103"/>
    </row>
    <row r="225" spans="1:10" ht="38.25">
      <c r="A225" s="215"/>
      <c r="B225" s="112" t="s">
        <v>700</v>
      </c>
      <c r="C225" s="113" t="s">
        <v>1721</v>
      </c>
      <c r="D225" s="106">
        <f>+'Alimentazione CE Costi'!K155</f>
        <v>0</v>
      </c>
      <c r="E225" s="106">
        <f>+'Alimentazione CE Costi'!N155</f>
        <v>0</v>
      </c>
      <c r="F225" s="356"/>
      <c r="G225" s="222"/>
      <c r="H225" s="107"/>
      <c r="J225" s="103"/>
    </row>
    <row r="226" spans="1:10" ht="25.5">
      <c r="A226" s="215"/>
      <c r="B226" s="112" t="s">
        <v>702</v>
      </c>
      <c r="C226" s="113" t="s">
        <v>1722</v>
      </c>
      <c r="D226" s="106">
        <f>+'Alimentazione CE Costi'!K156</f>
        <v>0</v>
      </c>
      <c r="E226" s="106">
        <f>+'Alimentazione CE Costi'!N156</f>
        <v>0</v>
      </c>
      <c r="F226" s="356"/>
      <c r="G226" s="222"/>
      <c r="H226" s="107"/>
      <c r="J226" s="103"/>
    </row>
    <row r="227" spans="1:10" ht="25.5">
      <c r="A227" s="215"/>
      <c r="B227" s="112" t="s">
        <v>704</v>
      </c>
      <c r="C227" s="113" t="s">
        <v>1723</v>
      </c>
      <c r="D227" s="106">
        <f>+'Alimentazione CE Costi'!K157</f>
        <v>0</v>
      </c>
      <c r="E227" s="106">
        <f>+'Alimentazione CE Costi'!N157</f>
        <v>0</v>
      </c>
      <c r="F227" s="356"/>
      <c r="G227" s="222"/>
      <c r="H227" s="107"/>
      <c r="J227" s="103"/>
    </row>
    <row r="228" spans="1:10" ht="25.5">
      <c r="A228" s="215"/>
      <c r="B228" s="112" t="s">
        <v>706</v>
      </c>
      <c r="C228" s="113" t="s">
        <v>1724</v>
      </c>
      <c r="D228" s="106">
        <f>+'Alimentazione CE Costi'!K158</f>
        <v>0</v>
      </c>
      <c r="E228" s="106">
        <f>+'Alimentazione CE Costi'!N158</f>
        <v>0</v>
      </c>
      <c r="F228" s="356"/>
      <c r="G228" s="222"/>
      <c r="H228" s="107"/>
      <c r="J228" s="103"/>
    </row>
    <row r="229" spans="1:10" ht="25.5">
      <c r="A229" s="215"/>
      <c r="B229" s="112" t="s">
        <v>708</v>
      </c>
      <c r="C229" s="113" t="s">
        <v>1725</v>
      </c>
      <c r="D229" s="106">
        <f>+'Alimentazione CE Costi'!K159</f>
        <v>0</v>
      </c>
      <c r="E229" s="106">
        <f>+'Alimentazione CE Costi'!N159</f>
        <v>0</v>
      </c>
      <c r="F229" s="356"/>
      <c r="G229" s="222"/>
      <c r="H229" s="107"/>
      <c r="J229" s="103"/>
    </row>
    <row r="230" spans="1:10" ht="25.5">
      <c r="A230" s="215"/>
      <c r="B230" s="110" t="s">
        <v>710</v>
      </c>
      <c r="C230" s="111" t="s">
        <v>1726</v>
      </c>
      <c r="D230" s="106">
        <f>+'Alimentazione CE Costi'!K160</f>
        <v>0</v>
      </c>
      <c r="E230" s="106">
        <f>+'Alimentazione CE Costi'!N160</f>
        <v>0</v>
      </c>
      <c r="F230" s="356"/>
      <c r="G230" s="222"/>
      <c r="H230" s="107"/>
      <c r="J230" s="103"/>
    </row>
    <row r="231" spans="1:10" ht="51">
      <c r="A231" s="215"/>
      <c r="B231" s="112" t="s">
        <v>712</v>
      </c>
      <c r="C231" s="113" t="s">
        <v>1727</v>
      </c>
      <c r="D231" s="106">
        <f>+'Alimentazione CE Costi'!K161</f>
        <v>0</v>
      </c>
      <c r="E231" s="106">
        <f>+'Alimentazione CE Costi'!N161</f>
        <v>0</v>
      </c>
      <c r="F231" s="356"/>
      <c r="G231" s="222"/>
      <c r="H231" s="107"/>
      <c r="J231" s="103"/>
    </row>
    <row r="232" spans="1:10" ht="25.5">
      <c r="A232" s="213"/>
      <c r="B232" s="156" t="s">
        <v>714</v>
      </c>
      <c r="C232" s="157" t="s">
        <v>1728</v>
      </c>
      <c r="D232" s="143">
        <f t="shared" ref="D232" si="82">SUM(D233:D237)</f>
        <v>0</v>
      </c>
      <c r="E232" s="143">
        <f t="shared" ref="E232" si="83">SUM(E233:E237)</f>
        <v>0</v>
      </c>
      <c r="F232" s="71" t="s">
        <v>2118</v>
      </c>
      <c r="G232" s="222"/>
      <c r="H232" s="107"/>
      <c r="J232" s="103"/>
    </row>
    <row r="233" spans="1:10" ht="25.5">
      <c r="A233" s="213" t="s">
        <v>1530</v>
      </c>
      <c r="B233" s="110" t="s">
        <v>715</v>
      </c>
      <c r="C233" s="111" t="s">
        <v>1729</v>
      </c>
      <c r="D233" s="106">
        <f>+'Alimentazione CE Costi'!K163</f>
        <v>0</v>
      </c>
      <c r="E233" s="106">
        <f>+'Alimentazione CE Costi'!N163</f>
        <v>0</v>
      </c>
      <c r="F233" s="71"/>
      <c r="G233" s="222"/>
      <c r="H233" s="107"/>
      <c r="J233" s="103"/>
    </row>
    <row r="234" spans="1:10" ht="18.75">
      <c r="A234" s="213"/>
      <c r="B234" s="110" t="s">
        <v>716</v>
      </c>
      <c r="C234" s="111" t="s">
        <v>1730</v>
      </c>
      <c r="D234" s="106">
        <f>+'Alimentazione CE Costi'!K164</f>
        <v>0</v>
      </c>
      <c r="E234" s="106">
        <f>+'Alimentazione CE Costi'!N164</f>
        <v>0</v>
      </c>
      <c r="F234" s="71"/>
      <c r="G234" s="222"/>
      <c r="H234" s="107"/>
      <c r="J234" s="103"/>
    </row>
    <row r="235" spans="1:10" ht="25.5">
      <c r="A235" s="213" t="s">
        <v>1579</v>
      </c>
      <c r="B235" s="110" t="s">
        <v>718</v>
      </c>
      <c r="C235" s="111" t="s">
        <v>1731</v>
      </c>
      <c r="D235" s="106">
        <f>+'Alimentazione CE Costi'!K165</f>
        <v>0</v>
      </c>
      <c r="E235" s="106">
        <f>+'Alimentazione CE Costi'!N165</f>
        <v>0</v>
      </c>
      <c r="F235" s="71"/>
      <c r="G235" s="222"/>
      <c r="H235" s="107"/>
      <c r="J235" s="103"/>
    </row>
    <row r="236" spans="1:10" ht="18.75">
      <c r="A236" s="213"/>
      <c r="B236" s="110" t="s">
        <v>720</v>
      </c>
      <c r="C236" s="111" t="s">
        <v>1732</v>
      </c>
      <c r="D236" s="106">
        <f>+'Alimentazione CE Costi'!K167+'Alimentazione CE Costi'!K168</f>
        <v>0</v>
      </c>
      <c r="E236" s="106">
        <f>+'Alimentazione CE Costi'!N167+'Alimentazione CE Costi'!N168</f>
        <v>0</v>
      </c>
      <c r="F236" s="71"/>
      <c r="G236" s="222"/>
      <c r="H236" s="107"/>
      <c r="J236" s="103"/>
    </row>
    <row r="237" spans="1:10" ht="18.75">
      <c r="A237" s="213"/>
      <c r="B237" s="110" t="s">
        <v>724</v>
      </c>
      <c r="C237" s="111" t="s">
        <v>1733</v>
      </c>
      <c r="D237" s="106">
        <f>+'Alimentazione CE Costi'!K170+'Alimentazione CE Costi'!K171</f>
        <v>0</v>
      </c>
      <c r="E237" s="106">
        <f>+'Alimentazione CE Costi'!N170+'Alimentazione CE Costi'!N171</f>
        <v>0</v>
      </c>
      <c r="F237" s="71"/>
      <c r="G237" s="222"/>
      <c r="H237" s="107"/>
      <c r="J237" s="103"/>
    </row>
    <row r="238" spans="1:10" ht="25.5">
      <c r="A238" s="213"/>
      <c r="B238" s="156" t="s">
        <v>726</v>
      </c>
      <c r="C238" s="157" t="s">
        <v>1734</v>
      </c>
      <c r="D238" s="143">
        <f t="shared" ref="D238" si="84">SUM(D239:D242)</f>
        <v>0</v>
      </c>
      <c r="E238" s="143">
        <f t="shared" ref="E238" si="85">SUM(E239:E242)</f>
        <v>0</v>
      </c>
      <c r="F238" s="71" t="s">
        <v>2118</v>
      </c>
      <c r="G238" s="222"/>
      <c r="H238" s="107"/>
      <c r="J238" s="103"/>
    </row>
    <row r="239" spans="1:10" ht="25.5">
      <c r="A239" s="213" t="s">
        <v>1530</v>
      </c>
      <c r="B239" s="110" t="s">
        <v>728</v>
      </c>
      <c r="C239" s="111" t="s">
        <v>1735</v>
      </c>
      <c r="D239" s="106">
        <f>+'Alimentazione CE Costi'!K173</f>
        <v>0</v>
      </c>
      <c r="E239" s="106">
        <f>+'Alimentazione CE Costi'!N173</f>
        <v>0</v>
      </c>
      <c r="F239" s="71"/>
      <c r="G239" s="222"/>
      <c r="H239" s="107"/>
      <c r="J239" s="103"/>
    </row>
    <row r="240" spans="1:10" ht="18.75">
      <c r="A240" s="213"/>
      <c r="B240" s="110" t="s">
        <v>729</v>
      </c>
      <c r="C240" s="111" t="s">
        <v>1736</v>
      </c>
      <c r="D240" s="106">
        <f>+'Alimentazione CE Costi'!K174</f>
        <v>0</v>
      </c>
      <c r="E240" s="106">
        <f>+'Alimentazione CE Costi'!N174</f>
        <v>0</v>
      </c>
      <c r="F240" s="71"/>
      <c r="G240" s="222"/>
      <c r="H240" s="107"/>
      <c r="J240" s="103"/>
    </row>
    <row r="241" spans="1:10" ht="18.75">
      <c r="A241" s="215" t="s">
        <v>1575</v>
      </c>
      <c r="B241" s="110" t="s">
        <v>730</v>
      </c>
      <c r="C241" s="111" t="s">
        <v>1737</v>
      </c>
      <c r="D241" s="106">
        <f>+'Alimentazione CE Costi'!K175</f>
        <v>0</v>
      </c>
      <c r="E241" s="106">
        <f>+'Alimentazione CE Costi'!N175</f>
        <v>0</v>
      </c>
      <c r="F241" s="356"/>
      <c r="G241" s="222"/>
      <c r="H241" s="107"/>
      <c r="J241" s="103"/>
    </row>
    <row r="242" spans="1:10" ht="18.75">
      <c r="A242" s="215"/>
      <c r="B242" s="110" t="s">
        <v>732</v>
      </c>
      <c r="C242" s="111" t="s">
        <v>1738</v>
      </c>
      <c r="D242" s="106">
        <f>+'Alimentazione CE Costi'!K177+'Alimentazione CE Costi'!K178+'Alimentazione CE Costi'!K179</f>
        <v>0</v>
      </c>
      <c r="E242" s="106">
        <f>+'Alimentazione CE Costi'!N177+'Alimentazione CE Costi'!N178+'Alimentazione CE Costi'!N179</f>
        <v>0</v>
      </c>
      <c r="F242" s="356"/>
      <c r="G242" s="222"/>
      <c r="H242" s="107"/>
      <c r="J242" s="103"/>
    </row>
    <row r="243" spans="1:10" ht="25.5">
      <c r="A243" s="215"/>
      <c r="B243" s="156" t="s">
        <v>1739</v>
      </c>
      <c r="C243" s="157" t="s">
        <v>1740</v>
      </c>
      <c r="D243" s="143">
        <f t="shared" ref="D243" si="86">SUM(D244:D247)</f>
        <v>0</v>
      </c>
      <c r="E243" s="143">
        <f t="shared" ref="E243" si="87">SUM(E244:E247)</f>
        <v>0</v>
      </c>
      <c r="F243" s="71" t="s">
        <v>2118</v>
      </c>
      <c r="G243" s="222"/>
      <c r="H243" s="107"/>
      <c r="J243" s="103"/>
    </row>
    <row r="244" spans="1:10" ht="25.5">
      <c r="A244" s="215" t="s">
        <v>1530</v>
      </c>
      <c r="B244" s="110" t="s">
        <v>738</v>
      </c>
      <c r="C244" s="111" t="s">
        <v>1741</v>
      </c>
      <c r="D244" s="106">
        <f>+'Alimentazione CE Costi'!K181</f>
        <v>0</v>
      </c>
      <c r="E244" s="106">
        <f>+'Alimentazione CE Costi'!N181</f>
        <v>0</v>
      </c>
      <c r="F244" s="356"/>
      <c r="G244" s="222"/>
      <c r="H244" s="107"/>
      <c r="J244" s="103"/>
    </row>
    <row r="245" spans="1:10" ht="18.75">
      <c r="A245" s="215"/>
      <c r="B245" s="110" t="s">
        <v>739</v>
      </c>
      <c r="C245" s="111" t="s">
        <v>1742</v>
      </c>
      <c r="D245" s="106">
        <f>+'Alimentazione CE Costi'!K182</f>
        <v>0</v>
      </c>
      <c r="E245" s="106">
        <f>+'Alimentazione CE Costi'!N182</f>
        <v>0</v>
      </c>
      <c r="F245" s="356"/>
      <c r="G245" s="222"/>
      <c r="H245" s="107"/>
      <c r="J245" s="103"/>
    </row>
    <row r="246" spans="1:10" ht="18.75">
      <c r="A246" s="215" t="s">
        <v>1575</v>
      </c>
      <c r="B246" s="110" t="s">
        <v>740</v>
      </c>
      <c r="C246" s="111" t="s">
        <v>1743</v>
      </c>
      <c r="D246" s="106">
        <f>+'Alimentazione CE Costi'!K183</f>
        <v>0</v>
      </c>
      <c r="E246" s="106">
        <f>+'Alimentazione CE Costi'!N183</f>
        <v>0</v>
      </c>
      <c r="F246" s="356"/>
      <c r="G246" s="222"/>
      <c r="H246" s="107"/>
      <c r="J246" s="103"/>
    </row>
    <row r="247" spans="1:10" ht="18.75">
      <c r="A247" s="215"/>
      <c r="B247" s="110" t="s">
        <v>741</v>
      </c>
      <c r="C247" s="111" t="s">
        <v>1744</v>
      </c>
      <c r="D247" s="106">
        <f>+'Alimentazione CE Costi'!K185+'Alimentazione CE Costi'!K186</f>
        <v>0</v>
      </c>
      <c r="E247" s="106">
        <f>+'Alimentazione CE Costi'!N185+'Alimentazione CE Costi'!N186</f>
        <v>0</v>
      </c>
      <c r="F247" s="356"/>
      <c r="G247" s="222"/>
      <c r="H247" s="107"/>
      <c r="J247" s="103"/>
    </row>
    <row r="248" spans="1:10" ht="25.5">
      <c r="A248" s="215"/>
      <c r="B248" s="156" t="s">
        <v>745</v>
      </c>
      <c r="C248" s="157" t="s">
        <v>1745</v>
      </c>
      <c r="D248" s="143">
        <f t="shared" ref="D248" si="88">SUM(D249:D252,D257)</f>
        <v>0</v>
      </c>
      <c r="E248" s="143">
        <f t="shared" ref="E248" si="89">SUM(E249:E252,E257)</f>
        <v>0</v>
      </c>
      <c r="F248" s="71" t="s">
        <v>2118</v>
      </c>
      <c r="G248" s="222"/>
      <c r="H248" s="107"/>
      <c r="J248" s="103"/>
    </row>
    <row r="249" spans="1:10" ht="25.5">
      <c r="A249" s="215" t="s">
        <v>1530</v>
      </c>
      <c r="B249" s="110" t="s">
        <v>746</v>
      </c>
      <c r="C249" s="111" t="s">
        <v>1746</v>
      </c>
      <c r="D249" s="106">
        <f>+'Alimentazione CE Costi'!K190+'Alimentazione CE Costi'!K189</f>
        <v>0</v>
      </c>
      <c r="E249" s="106">
        <f>+'Alimentazione CE Costi'!N190+'Alimentazione CE Costi'!N189</f>
        <v>0</v>
      </c>
      <c r="F249" s="356"/>
      <c r="G249" s="222"/>
      <c r="H249" s="107"/>
      <c r="J249" s="103"/>
    </row>
    <row r="250" spans="1:10" ht="18.75">
      <c r="A250" s="215"/>
      <c r="B250" s="110" t="s">
        <v>749</v>
      </c>
      <c r="C250" s="111" t="s">
        <v>1747</v>
      </c>
      <c r="D250" s="106">
        <f>+'Alimentazione CE Costi'!K191</f>
        <v>0</v>
      </c>
      <c r="E250" s="106">
        <f>+'Alimentazione CE Costi'!N191</f>
        <v>0</v>
      </c>
      <c r="F250" s="356"/>
      <c r="G250" s="222"/>
      <c r="H250" s="107"/>
      <c r="J250" s="103"/>
    </row>
    <row r="251" spans="1:10" ht="18.75">
      <c r="A251" s="215" t="s">
        <v>1575</v>
      </c>
      <c r="B251" s="110" t="s">
        <v>750</v>
      </c>
      <c r="C251" s="111" t="s">
        <v>1748</v>
      </c>
      <c r="D251" s="106">
        <f>+'Alimentazione CE Costi'!K193</f>
        <v>0</v>
      </c>
      <c r="E251" s="106">
        <f>+'Alimentazione CE Costi'!N193</f>
        <v>0</v>
      </c>
      <c r="F251" s="356"/>
      <c r="G251" s="222"/>
      <c r="H251" s="107"/>
      <c r="J251" s="103"/>
    </row>
    <row r="252" spans="1:10" ht="18.75">
      <c r="A252" s="215"/>
      <c r="B252" s="147" t="s">
        <v>753</v>
      </c>
      <c r="C252" s="148" t="s">
        <v>1749</v>
      </c>
      <c r="D252" s="146">
        <f t="shared" ref="D252" si="90">SUM(D253:D256)</f>
        <v>0</v>
      </c>
      <c r="E252" s="146">
        <f t="shared" ref="E252" si="91">SUM(E253:E256)</f>
        <v>0</v>
      </c>
      <c r="F252" s="71" t="s">
        <v>2118</v>
      </c>
      <c r="G252" s="222"/>
      <c r="H252" s="107"/>
      <c r="J252" s="103"/>
    </row>
    <row r="253" spans="1:10" ht="25.5">
      <c r="A253" s="215"/>
      <c r="B253" s="112" t="s">
        <v>755</v>
      </c>
      <c r="C253" s="113" t="s">
        <v>1750</v>
      </c>
      <c r="D253" s="106">
        <f>+'Alimentazione CE Costi'!K195</f>
        <v>0</v>
      </c>
      <c r="E253" s="106">
        <f>+'Alimentazione CE Costi'!N195</f>
        <v>0</v>
      </c>
      <c r="F253" s="356"/>
      <c r="G253" s="222"/>
      <c r="H253" s="107"/>
      <c r="J253" s="103"/>
    </row>
    <row r="254" spans="1:10" ht="25.5">
      <c r="A254" s="215"/>
      <c r="B254" s="112" t="s">
        <v>757</v>
      </c>
      <c r="C254" s="113" t="s">
        <v>1751</v>
      </c>
      <c r="D254" s="106">
        <f>+'Alimentazione CE Costi'!K196</f>
        <v>0</v>
      </c>
      <c r="E254" s="106">
        <f>+'Alimentazione CE Costi'!N196</f>
        <v>0</v>
      </c>
      <c r="F254" s="356"/>
      <c r="G254" s="222"/>
      <c r="H254" s="107"/>
      <c r="J254" s="103"/>
    </row>
    <row r="255" spans="1:10" ht="25.5">
      <c r="A255" s="215"/>
      <c r="B255" s="112" t="s">
        <v>759</v>
      </c>
      <c r="C255" s="113" t="s">
        <v>1752</v>
      </c>
      <c r="D255" s="106">
        <f>+'Alimentazione CE Costi'!K197</f>
        <v>0</v>
      </c>
      <c r="E255" s="106">
        <f>+'Alimentazione CE Costi'!N197</f>
        <v>0</v>
      </c>
      <c r="F255" s="356"/>
      <c r="G255" s="222"/>
      <c r="H255" s="107"/>
      <c r="J255" s="103"/>
    </row>
    <row r="256" spans="1:10" ht="25.5">
      <c r="A256" s="215"/>
      <c r="B256" s="112" t="s">
        <v>761</v>
      </c>
      <c r="C256" s="113" t="s">
        <v>1753</v>
      </c>
      <c r="D256" s="106">
        <f>+'Alimentazione CE Costi'!K198</f>
        <v>0</v>
      </c>
      <c r="E256" s="106">
        <f>+'Alimentazione CE Costi'!N198</f>
        <v>0</v>
      </c>
      <c r="F256" s="356"/>
      <c r="G256" s="222"/>
      <c r="H256" s="107"/>
      <c r="J256" s="103"/>
    </row>
    <row r="257" spans="1:10" ht="25.5">
      <c r="A257" s="215"/>
      <c r="B257" s="110" t="s">
        <v>762</v>
      </c>
      <c r="C257" s="111" t="s">
        <v>1754</v>
      </c>
      <c r="D257" s="106">
        <f>+'Alimentazione CE Costi'!K199</f>
        <v>0</v>
      </c>
      <c r="E257" s="106">
        <f>+'Alimentazione CE Costi'!N199</f>
        <v>0</v>
      </c>
      <c r="F257" s="356"/>
      <c r="G257" s="222"/>
      <c r="H257" s="107"/>
      <c r="J257" s="103"/>
    </row>
    <row r="258" spans="1:10" ht="25.5">
      <c r="A258" s="215"/>
      <c r="B258" s="156" t="s">
        <v>764</v>
      </c>
      <c r="C258" s="157" t="s">
        <v>1755</v>
      </c>
      <c r="D258" s="143">
        <f t="shared" ref="D258" si="92">SUM(D259:D263)</f>
        <v>0</v>
      </c>
      <c r="E258" s="143">
        <f t="shared" ref="E258" si="93">SUM(E259:E263)</f>
        <v>0</v>
      </c>
      <c r="F258" s="71" t="s">
        <v>2118</v>
      </c>
      <c r="G258" s="222"/>
      <c r="H258" s="107"/>
      <c r="J258" s="103"/>
    </row>
    <row r="259" spans="1:10" ht="25.5">
      <c r="A259" s="215" t="s">
        <v>1530</v>
      </c>
      <c r="B259" s="110" t="s">
        <v>765</v>
      </c>
      <c r="C259" s="111" t="s">
        <v>1756</v>
      </c>
      <c r="D259" s="106">
        <f>+'Alimentazione CE Costi'!K201</f>
        <v>0</v>
      </c>
      <c r="E259" s="106">
        <f>+'Alimentazione CE Costi'!N201</f>
        <v>0</v>
      </c>
      <c r="F259" s="356"/>
      <c r="G259" s="222"/>
      <c r="H259" s="107"/>
      <c r="J259" s="103"/>
    </row>
    <row r="260" spans="1:10" ht="18.75">
      <c r="A260" s="213"/>
      <c r="B260" s="110" t="s">
        <v>766</v>
      </c>
      <c r="C260" s="111" t="s">
        <v>1757</v>
      </c>
      <c r="D260" s="106">
        <f>+'Alimentazione CE Costi'!K202</f>
        <v>0</v>
      </c>
      <c r="E260" s="106">
        <f>+'Alimentazione CE Costi'!N202</f>
        <v>0</v>
      </c>
      <c r="F260" s="71"/>
      <c r="G260" s="222"/>
      <c r="H260" s="107"/>
      <c r="J260" s="103"/>
    </row>
    <row r="261" spans="1:10" ht="25.5">
      <c r="A261" s="213" t="s">
        <v>1579</v>
      </c>
      <c r="B261" s="110" t="s">
        <v>768</v>
      </c>
      <c r="C261" s="111" t="s">
        <v>1758</v>
      </c>
      <c r="D261" s="106">
        <f>+'Alimentazione CE Costi'!K203</f>
        <v>0</v>
      </c>
      <c r="E261" s="106">
        <f>+'Alimentazione CE Costi'!N203</f>
        <v>0</v>
      </c>
      <c r="F261" s="71"/>
      <c r="G261" s="222"/>
      <c r="H261" s="107"/>
      <c r="J261" s="103"/>
    </row>
    <row r="262" spans="1:10" ht="18.75">
      <c r="A262" s="213"/>
      <c r="B262" s="110" t="s">
        <v>769</v>
      </c>
      <c r="C262" s="111" t="s">
        <v>1759</v>
      </c>
      <c r="D262" s="106">
        <f>+'Alimentazione CE Costi'!K204</f>
        <v>0</v>
      </c>
      <c r="E262" s="106">
        <f>+'Alimentazione CE Costi'!N204</f>
        <v>0</v>
      </c>
      <c r="F262" s="71"/>
      <c r="G262" s="222"/>
      <c r="H262" s="107"/>
      <c r="J262" s="103"/>
    </row>
    <row r="263" spans="1:10" ht="18.75">
      <c r="A263" s="213"/>
      <c r="B263" s="110" t="s">
        <v>770</v>
      </c>
      <c r="C263" s="111" t="s">
        <v>1760</v>
      </c>
      <c r="D263" s="106">
        <f>+'Alimentazione CE Costi'!K205</f>
        <v>0</v>
      </c>
      <c r="E263" s="106">
        <f>+'Alimentazione CE Costi'!N205</f>
        <v>0</v>
      </c>
      <c r="F263" s="71"/>
      <c r="G263" s="222"/>
      <c r="H263" s="107"/>
      <c r="J263" s="103"/>
    </row>
    <row r="264" spans="1:10" ht="25.5">
      <c r="A264" s="213"/>
      <c r="B264" s="156" t="s">
        <v>772</v>
      </c>
      <c r="C264" s="157" t="s">
        <v>1761</v>
      </c>
      <c r="D264" s="143">
        <f t="shared" ref="D264" si="94">SUM(D265:D270)</f>
        <v>0</v>
      </c>
      <c r="E264" s="143">
        <f t="shared" ref="E264" si="95">SUM(E265:E270)</f>
        <v>0</v>
      </c>
      <c r="F264" s="71" t="s">
        <v>2118</v>
      </c>
      <c r="G264" s="222"/>
      <c r="H264" s="107"/>
      <c r="J264" s="103"/>
    </row>
    <row r="265" spans="1:10" ht="25.5">
      <c r="A265" s="213" t="s">
        <v>1530</v>
      </c>
      <c r="B265" s="110" t="s">
        <v>773</v>
      </c>
      <c r="C265" s="111" t="s">
        <v>1762</v>
      </c>
      <c r="D265" s="106">
        <f>+'Alimentazione CE Costi'!K208+'Alimentazione CE Costi'!K209</f>
        <v>0</v>
      </c>
      <c r="E265" s="106">
        <f>+'Alimentazione CE Costi'!N208+'Alimentazione CE Costi'!N209</f>
        <v>0</v>
      </c>
      <c r="F265" s="71"/>
      <c r="G265" s="222"/>
      <c r="H265" s="107"/>
      <c r="J265" s="103"/>
    </row>
    <row r="266" spans="1:10" ht="18.75">
      <c r="A266" s="213"/>
      <c r="B266" s="110" t="s">
        <v>776</v>
      </c>
      <c r="C266" s="111" t="s">
        <v>1763</v>
      </c>
      <c r="D266" s="106">
        <f>+'Alimentazione CE Costi'!K210</f>
        <v>0</v>
      </c>
      <c r="E266" s="106">
        <f>+'Alimentazione CE Costi'!N210</f>
        <v>0</v>
      </c>
      <c r="F266" s="71"/>
      <c r="G266" s="222"/>
      <c r="H266" s="107"/>
      <c r="J266" s="103"/>
    </row>
    <row r="267" spans="1:10" ht="18.75">
      <c r="A267" s="213" t="s">
        <v>1575</v>
      </c>
      <c r="B267" s="110" t="s">
        <v>777</v>
      </c>
      <c r="C267" s="111" t="s">
        <v>1764</v>
      </c>
      <c r="D267" s="106">
        <f>+'Alimentazione CE Costi'!K211</f>
        <v>0</v>
      </c>
      <c r="E267" s="106">
        <f>+'Alimentazione CE Costi'!N211</f>
        <v>0</v>
      </c>
      <c r="F267" s="71"/>
      <c r="G267" s="222"/>
      <c r="H267" s="107"/>
      <c r="J267" s="103"/>
    </row>
    <row r="268" spans="1:10" ht="18.75">
      <c r="A268" s="213"/>
      <c r="B268" s="110" t="s">
        <v>778</v>
      </c>
      <c r="C268" s="111" t="s">
        <v>1765</v>
      </c>
      <c r="D268" s="106">
        <f>+'Alimentazione CE Costi'!K213</f>
        <v>0</v>
      </c>
      <c r="E268" s="106">
        <f>+'Alimentazione CE Costi'!N213</f>
        <v>0</v>
      </c>
      <c r="F268" s="71"/>
      <c r="G268" s="222"/>
      <c r="H268" s="107"/>
      <c r="J268" s="103"/>
    </row>
    <row r="269" spans="1:10" ht="18.75">
      <c r="A269" s="213"/>
      <c r="B269" s="110" t="s">
        <v>779</v>
      </c>
      <c r="C269" s="111" t="s">
        <v>1766</v>
      </c>
      <c r="D269" s="106">
        <f>+'Alimentazione CE Costi'!K214</f>
        <v>0</v>
      </c>
      <c r="E269" s="106">
        <f>+'Alimentazione CE Costi'!N214</f>
        <v>0</v>
      </c>
      <c r="F269" s="71"/>
      <c r="G269" s="222"/>
      <c r="H269" s="107"/>
      <c r="J269" s="103"/>
    </row>
    <row r="270" spans="1:10" ht="25.5">
      <c r="A270" s="213"/>
      <c r="B270" s="110" t="s">
        <v>780</v>
      </c>
      <c r="C270" s="111" t="s">
        <v>1767</v>
      </c>
      <c r="D270" s="106">
        <f>+'Alimentazione CE Costi'!K215</f>
        <v>0</v>
      </c>
      <c r="E270" s="106">
        <f>+'Alimentazione CE Costi'!N215</f>
        <v>0</v>
      </c>
      <c r="F270" s="71"/>
      <c r="G270" s="222"/>
      <c r="H270" s="107"/>
      <c r="J270" s="103"/>
    </row>
    <row r="271" spans="1:10" ht="25.5">
      <c r="A271" s="213"/>
      <c r="B271" s="156" t="s">
        <v>782</v>
      </c>
      <c r="C271" s="157" t="s">
        <v>1768</v>
      </c>
      <c r="D271" s="143">
        <f t="shared" ref="D271" si="96">SUM(D272:D276)</f>
        <v>0</v>
      </c>
      <c r="E271" s="143">
        <f t="shared" ref="E271" si="97">SUM(E272:E276)</f>
        <v>0</v>
      </c>
      <c r="F271" s="71" t="s">
        <v>2118</v>
      </c>
      <c r="G271" s="222"/>
      <c r="H271" s="107"/>
      <c r="J271" s="103"/>
    </row>
    <row r="272" spans="1:10" ht="25.5">
      <c r="A272" s="213" t="s">
        <v>1530</v>
      </c>
      <c r="B272" s="110" t="s">
        <v>783</v>
      </c>
      <c r="C272" s="111" t="s">
        <v>1769</v>
      </c>
      <c r="D272" s="106">
        <f>+'Alimentazione CE Costi'!K217</f>
        <v>0</v>
      </c>
      <c r="E272" s="106">
        <f>+'Alimentazione CE Costi'!N217</f>
        <v>0</v>
      </c>
      <c r="F272" s="71"/>
      <c r="G272" s="222"/>
      <c r="H272" s="107"/>
      <c r="J272" s="103"/>
    </row>
    <row r="273" spans="1:10" ht="25.5">
      <c r="A273" s="213"/>
      <c r="B273" s="110" t="s">
        <v>784</v>
      </c>
      <c r="C273" s="111" t="s">
        <v>1770</v>
      </c>
      <c r="D273" s="106">
        <f>+'Alimentazione CE Costi'!K218</f>
        <v>0</v>
      </c>
      <c r="E273" s="106">
        <f>+'Alimentazione CE Costi'!N218</f>
        <v>0</v>
      </c>
      <c r="F273" s="71"/>
      <c r="G273" s="222"/>
      <c r="H273" s="107"/>
      <c r="J273" s="103"/>
    </row>
    <row r="274" spans="1:10" ht="18.75">
      <c r="A274" s="213" t="s">
        <v>1575</v>
      </c>
      <c r="B274" s="110" t="s">
        <v>785</v>
      </c>
      <c r="C274" s="111" t="s">
        <v>1771</v>
      </c>
      <c r="D274" s="106">
        <f>+'Alimentazione CE Costi'!K219</f>
        <v>0</v>
      </c>
      <c r="E274" s="106">
        <f>+'Alimentazione CE Costi'!N219</f>
        <v>0</v>
      </c>
      <c r="F274" s="71"/>
      <c r="G274" s="222"/>
      <c r="H274" s="107"/>
      <c r="J274" s="103"/>
    </row>
    <row r="275" spans="1:10" ht="18.75">
      <c r="A275" s="213"/>
      <c r="B275" s="110" t="s">
        <v>786</v>
      </c>
      <c r="C275" s="111" t="s">
        <v>1772</v>
      </c>
      <c r="D275" s="106">
        <f>+'Alimentazione CE Costi'!K220</f>
        <v>0</v>
      </c>
      <c r="E275" s="106">
        <f>+'Alimentazione CE Costi'!N220</f>
        <v>0</v>
      </c>
      <c r="F275" s="71"/>
      <c r="G275" s="222"/>
      <c r="H275" s="107"/>
      <c r="J275" s="103"/>
    </row>
    <row r="276" spans="1:10" ht="25.5">
      <c r="A276" s="213"/>
      <c r="B276" s="110" t="s">
        <v>787</v>
      </c>
      <c r="C276" s="111" t="s">
        <v>1773</v>
      </c>
      <c r="D276" s="106">
        <f>+'Alimentazione CE Costi'!K221</f>
        <v>0</v>
      </c>
      <c r="E276" s="106">
        <f>+'Alimentazione CE Costi'!N221</f>
        <v>0</v>
      </c>
      <c r="F276" s="71"/>
      <c r="G276" s="222"/>
      <c r="H276" s="107"/>
      <c r="J276" s="103"/>
    </row>
    <row r="277" spans="1:10" ht="25.5">
      <c r="A277" s="213"/>
      <c r="B277" s="156" t="s">
        <v>789</v>
      </c>
      <c r="C277" s="157" t="s">
        <v>1774</v>
      </c>
      <c r="D277" s="143">
        <f t="shared" ref="D277" si="98">SUM(D278:D281)</f>
        <v>104860.4</v>
      </c>
      <c r="E277" s="143">
        <f t="shared" ref="E277" si="99">SUM(E278:E281)</f>
        <v>104616.94</v>
      </c>
      <c r="F277" s="71" t="s">
        <v>2118</v>
      </c>
      <c r="G277" s="222"/>
      <c r="H277" s="107"/>
      <c r="J277" s="103"/>
    </row>
    <row r="278" spans="1:10" ht="25.5">
      <c r="A278" s="213" t="s">
        <v>1530</v>
      </c>
      <c r="B278" s="110" t="s">
        <v>790</v>
      </c>
      <c r="C278" s="111" t="s">
        <v>1775</v>
      </c>
      <c r="D278" s="106">
        <f>+'Alimentazione CE Costi'!K223</f>
        <v>0</v>
      </c>
      <c r="E278" s="106">
        <f>+'Alimentazione CE Costi'!N223</f>
        <v>0</v>
      </c>
      <c r="F278" s="71"/>
      <c r="G278" s="222"/>
      <c r="H278" s="107"/>
      <c r="J278" s="103"/>
    </row>
    <row r="279" spans="1:10" ht="25.5">
      <c r="A279" s="213"/>
      <c r="B279" s="110" t="s">
        <v>791</v>
      </c>
      <c r="C279" s="111" t="s">
        <v>1776</v>
      </c>
      <c r="D279" s="106">
        <f>+'Alimentazione CE Costi'!K224</f>
        <v>0</v>
      </c>
      <c r="E279" s="106">
        <f>+'Alimentazione CE Costi'!N224</f>
        <v>0</v>
      </c>
      <c r="F279" s="71"/>
      <c r="G279" s="222"/>
      <c r="H279" s="107"/>
      <c r="J279" s="103"/>
    </row>
    <row r="280" spans="1:10" ht="18.75">
      <c r="A280" s="213" t="s">
        <v>1575</v>
      </c>
      <c r="B280" s="110" t="s">
        <v>792</v>
      </c>
      <c r="C280" s="111" t="s">
        <v>1777</v>
      </c>
      <c r="D280" s="106">
        <f>+'Alimentazione CE Costi'!K225</f>
        <v>0</v>
      </c>
      <c r="E280" s="106">
        <f>+'Alimentazione CE Costi'!N225</f>
        <v>0</v>
      </c>
      <c r="F280" s="71"/>
      <c r="G280" s="222"/>
      <c r="H280" s="107"/>
      <c r="J280" s="103"/>
    </row>
    <row r="281" spans="1:10" ht="18.75">
      <c r="A281" s="213"/>
      <c r="B281" s="110" t="s">
        <v>793</v>
      </c>
      <c r="C281" s="111" t="s">
        <v>1778</v>
      </c>
      <c r="D281" s="106">
        <f>+ROUND(SUM('Alimentazione CE Costi'!K227:K230),2)</f>
        <v>104860.4</v>
      </c>
      <c r="E281" s="106">
        <f>+ROUND(SUM('Alimentazione CE Costi'!N227:N230),2)</f>
        <v>104616.94</v>
      </c>
      <c r="F281" s="71"/>
      <c r="G281" s="222"/>
      <c r="H281" s="107"/>
      <c r="J281" s="103"/>
    </row>
    <row r="282" spans="1:10" ht="25.5">
      <c r="A282" s="213"/>
      <c r="B282" s="156" t="s">
        <v>799</v>
      </c>
      <c r="C282" s="157" t="s">
        <v>1779</v>
      </c>
      <c r="D282" s="143">
        <f t="shared" ref="D282" si="100">+D283+D286+D288+D289+D290+D287</f>
        <v>500178.71</v>
      </c>
      <c r="E282" s="143">
        <f t="shared" ref="E282" si="101">+E283+E286+E288+E289+E290+E287</f>
        <v>521160.59</v>
      </c>
      <c r="F282" s="71" t="s">
        <v>2118</v>
      </c>
      <c r="G282" s="222"/>
      <c r="H282" s="107"/>
      <c r="J282" s="103"/>
    </row>
    <row r="283" spans="1:10" ht="25.5">
      <c r="A283" s="213" t="s">
        <v>1530</v>
      </c>
      <c r="B283" s="147" t="s">
        <v>800</v>
      </c>
      <c r="C283" s="148" t="s">
        <v>1780</v>
      </c>
      <c r="D283" s="146">
        <f t="shared" ref="D283" si="102">+D284+D285</f>
        <v>0</v>
      </c>
      <c r="E283" s="146">
        <f t="shared" ref="E283" si="103">+E284+E285</f>
        <v>0</v>
      </c>
      <c r="F283" s="71" t="s">
        <v>2118</v>
      </c>
      <c r="G283" s="222"/>
      <c r="H283" s="107"/>
      <c r="J283" s="103"/>
    </row>
    <row r="284" spans="1:10" ht="18.75">
      <c r="A284" s="215" t="s">
        <v>1530</v>
      </c>
      <c r="B284" s="112" t="s">
        <v>802</v>
      </c>
      <c r="C284" s="113" t="s">
        <v>1781</v>
      </c>
      <c r="D284" s="106">
        <f>+'Alimentazione CE Costi'!K233</f>
        <v>0</v>
      </c>
      <c r="E284" s="106">
        <f>+'Alimentazione CE Costi'!N233</f>
        <v>0</v>
      </c>
      <c r="F284" s="356"/>
      <c r="G284" s="222"/>
      <c r="H284" s="107"/>
      <c r="J284" s="103"/>
    </row>
    <row r="285" spans="1:10" ht="25.5">
      <c r="A285" s="215" t="s">
        <v>1530</v>
      </c>
      <c r="B285" s="112" t="s">
        <v>804</v>
      </c>
      <c r="C285" s="113" t="s">
        <v>1782</v>
      </c>
      <c r="D285" s="106">
        <f>+'Alimentazione CE Costi'!K234</f>
        <v>0</v>
      </c>
      <c r="E285" s="106">
        <f>+'Alimentazione CE Costi'!N234</f>
        <v>0</v>
      </c>
      <c r="F285" s="356"/>
      <c r="G285" s="222"/>
      <c r="H285" s="107"/>
      <c r="J285" s="103"/>
    </row>
    <row r="286" spans="1:10" ht="25.5">
      <c r="A286" s="213"/>
      <c r="B286" s="110" t="s">
        <v>806</v>
      </c>
      <c r="C286" s="111" t="s">
        <v>1783</v>
      </c>
      <c r="D286" s="106">
        <f>+'Alimentazione CE Costi'!K236+'Alimentazione CE Costi'!K237+'Alimentazione CE Costi'!K238+'Alimentazione CE Costi'!K239</f>
        <v>0</v>
      </c>
      <c r="E286" s="106">
        <f>+'Alimentazione CE Costi'!N236+'Alimentazione CE Costi'!N237+'Alimentazione CE Costi'!N238+'Alimentazione CE Costi'!N239</f>
        <v>0</v>
      </c>
      <c r="F286" s="71"/>
      <c r="G286" s="222"/>
      <c r="H286" s="107"/>
      <c r="J286" s="103"/>
    </row>
    <row r="287" spans="1:10" ht="38.25">
      <c r="A287" s="213" t="s">
        <v>1575</v>
      </c>
      <c r="B287" s="110" t="s">
        <v>812</v>
      </c>
      <c r="C287" s="111" t="s">
        <v>1784</v>
      </c>
      <c r="D287" s="106">
        <f>+'Alimentazione CE Costi'!K240</f>
        <v>0</v>
      </c>
      <c r="E287" s="106">
        <f>+'Alimentazione CE Costi'!N240</f>
        <v>0</v>
      </c>
      <c r="F287" s="71"/>
      <c r="G287" s="222"/>
      <c r="H287" s="107"/>
      <c r="J287" s="103"/>
    </row>
    <row r="288" spans="1:10" ht="25.5">
      <c r="A288" s="213" t="s">
        <v>1579</v>
      </c>
      <c r="B288" s="110" t="s">
        <v>814</v>
      </c>
      <c r="C288" s="111" t="s">
        <v>1785</v>
      </c>
      <c r="D288" s="106">
        <f>+'Alimentazione CE Costi'!K241+'Alimentazione CE Costi'!K242+'Alimentazione CE Costi'!K243</f>
        <v>500178.71</v>
      </c>
      <c r="E288" s="106">
        <f>+'Alimentazione CE Costi'!N241+'Alimentazione CE Costi'!N242+'Alimentazione CE Costi'!N243</f>
        <v>521160.59</v>
      </c>
      <c r="F288" s="71"/>
      <c r="G288" s="222"/>
      <c r="H288" s="107"/>
      <c r="J288" s="103"/>
    </row>
    <row r="289" spans="1:10" ht="18.75">
      <c r="A289" s="213"/>
      <c r="B289" s="110" t="s">
        <v>815</v>
      </c>
      <c r="C289" s="111" t="s">
        <v>1786</v>
      </c>
      <c r="D289" s="106">
        <f>+ROUND(SUM('Alimentazione CE Costi'!K245:K252),2)</f>
        <v>0</v>
      </c>
      <c r="E289" s="106">
        <f>+ROUND(SUM('Alimentazione CE Costi'!N245:N252),2)</f>
        <v>0</v>
      </c>
      <c r="F289" s="71"/>
      <c r="G289" s="222"/>
      <c r="H289" s="107"/>
      <c r="J289" s="103"/>
    </row>
    <row r="290" spans="1:10" ht="18.75">
      <c r="A290" s="213"/>
      <c r="B290" s="110" t="s">
        <v>821</v>
      </c>
      <c r="C290" s="111" t="s">
        <v>1787</v>
      </c>
      <c r="D290" s="106">
        <f>+'Alimentazione CE Costi'!K254+'Alimentazione CE Costi'!K255</f>
        <v>0</v>
      </c>
      <c r="E290" s="106">
        <f>+'Alimentazione CE Costi'!N254+'Alimentazione CE Costi'!N255</f>
        <v>0</v>
      </c>
      <c r="F290" s="71"/>
      <c r="G290" s="222"/>
      <c r="H290" s="107"/>
      <c r="J290" s="103"/>
    </row>
    <row r="291" spans="1:10" ht="25.5">
      <c r="A291" s="213"/>
      <c r="B291" s="156" t="s">
        <v>824</v>
      </c>
      <c r="C291" s="157" t="s">
        <v>1788</v>
      </c>
      <c r="D291" s="143">
        <f t="shared" ref="D291" si="104">SUM(D292:D298)</f>
        <v>964672.45</v>
      </c>
      <c r="E291" s="143">
        <f t="shared" ref="E291" si="105">SUM(E292:E298)</f>
        <v>953831.69</v>
      </c>
      <c r="F291" s="71" t="s">
        <v>2118</v>
      </c>
      <c r="G291" s="222"/>
      <c r="H291" s="107"/>
      <c r="J291" s="103"/>
    </row>
    <row r="292" spans="1:10" ht="25.5">
      <c r="A292" s="213"/>
      <c r="B292" s="110" t="s">
        <v>826</v>
      </c>
      <c r="C292" s="111" t="s">
        <v>1789</v>
      </c>
      <c r="D292" s="106">
        <f>+'Alimentazione CE Costi'!K257</f>
        <v>28300</v>
      </c>
      <c r="E292" s="106">
        <f>+'Alimentazione CE Costi'!N257</f>
        <v>80050</v>
      </c>
      <c r="F292" s="71"/>
      <c r="G292" s="222"/>
      <c r="H292" s="107"/>
      <c r="J292" s="103"/>
    </row>
    <row r="293" spans="1:10" ht="25.5">
      <c r="A293" s="213"/>
      <c r="B293" s="110" t="s">
        <v>828</v>
      </c>
      <c r="C293" s="111" t="s">
        <v>1790</v>
      </c>
      <c r="D293" s="106">
        <f>+'Alimentazione CE Costi'!K258</f>
        <v>633854.23</v>
      </c>
      <c r="E293" s="106">
        <f>+'Alimentazione CE Costi'!N258</f>
        <v>608142.81999999995</v>
      </c>
      <c r="F293" s="71"/>
      <c r="G293" s="222"/>
      <c r="H293" s="107"/>
      <c r="J293" s="103"/>
    </row>
    <row r="294" spans="1:10" ht="25.5">
      <c r="A294" s="213"/>
      <c r="B294" s="110" t="s">
        <v>830</v>
      </c>
      <c r="C294" s="111" t="s">
        <v>1791</v>
      </c>
      <c r="D294" s="106">
        <f>+'Alimentazione CE Costi'!K259</f>
        <v>0</v>
      </c>
      <c r="E294" s="106">
        <f>+'Alimentazione CE Costi'!N259</f>
        <v>0</v>
      </c>
      <c r="F294" s="71"/>
      <c r="G294" s="222"/>
      <c r="H294" s="107"/>
      <c r="J294" s="103"/>
    </row>
    <row r="295" spans="1:10" ht="38.25">
      <c r="A295" s="213"/>
      <c r="B295" s="110" t="s">
        <v>832</v>
      </c>
      <c r="C295" s="111" t="s">
        <v>1792</v>
      </c>
      <c r="D295" s="106">
        <f>+'Alimentazione CE Costi'!K261+'Alimentazione CE Costi'!K262+'Alimentazione CE Costi'!K263+'Alimentazione CE Costi'!K264</f>
        <v>232988.95</v>
      </c>
      <c r="E295" s="106">
        <f>+'Alimentazione CE Costi'!N261+'Alimentazione CE Costi'!N262+'Alimentazione CE Costi'!N263+'Alimentazione CE Costi'!N264</f>
        <v>186713.25</v>
      </c>
      <c r="F295" s="71"/>
      <c r="G295" s="222"/>
      <c r="H295" s="107"/>
      <c r="J295" s="103"/>
    </row>
    <row r="296" spans="1:10" ht="51">
      <c r="A296" s="213" t="s">
        <v>1530</v>
      </c>
      <c r="B296" s="110" t="s">
        <v>838</v>
      </c>
      <c r="C296" s="111" t="s">
        <v>1793</v>
      </c>
      <c r="D296" s="106">
        <f>+'Alimentazione CE Costi'!K266+'Alimentazione CE Costi'!K267+'Alimentazione CE Costi'!K268+'Alimentazione CE Costi'!K269</f>
        <v>0</v>
      </c>
      <c r="E296" s="106">
        <f>+'Alimentazione CE Costi'!N266+'Alimentazione CE Costi'!N267+'Alimentazione CE Costi'!N268+'Alimentazione CE Costi'!N269</f>
        <v>0</v>
      </c>
      <c r="F296" s="71"/>
      <c r="G296" s="222"/>
      <c r="H296" s="107"/>
      <c r="J296" s="103"/>
    </row>
    <row r="297" spans="1:10" ht="25.5">
      <c r="A297" s="213"/>
      <c r="B297" s="110" t="s">
        <v>840</v>
      </c>
      <c r="C297" s="111" t="s">
        <v>1794</v>
      </c>
      <c r="D297" s="106">
        <f>+ROUND(SUM('Alimentazione CE Costi'!K271:K281),2)</f>
        <v>69529.27</v>
      </c>
      <c r="E297" s="106">
        <f>+ROUND(SUM('Alimentazione CE Costi'!N271:N281),2)</f>
        <v>78925.62</v>
      </c>
      <c r="F297" s="71"/>
      <c r="G297" s="222"/>
      <c r="H297" s="107"/>
      <c r="J297" s="103"/>
    </row>
    <row r="298" spans="1:10" ht="38.25">
      <c r="A298" s="213" t="s">
        <v>1530</v>
      </c>
      <c r="B298" s="110" t="s">
        <v>851</v>
      </c>
      <c r="C298" s="111" t="s">
        <v>1795</v>
      </c>
      <c r="D298" s="106">
        <f>+ROUND(SUM('Alimentazione CE Costi'!K283:K291),2)</f>
        <v>0</v>
      </c>
      <c r="E298" s="106">
        <f>+ROUND(SUM('Alimentazione CE Costi'!N283:N291),2)</f>
        <v>0</v>
      </c>
      <c r="F298" s="71"/>
      <c r="G298" s="222"/>
      <c r="H298" s="107"/>
      <c r="J298" s="103"/>
    </row>
    <row r="299" spans="1:10" ht="18.75">
      <c r="A299" s="213"/>
      <c r="B299" s="156" t="s">
        <v>853</v>
      </c>
      <c r="C299" s="157" t="s">
        <v>1796</v>
      </c>
      <c r="D299" s="143">
        <f t="shared" ref="D299" si="106">SUM(D300:D306)</f>
        <v>2378139.86</v>
      </c>
      <c r="E299" s="143">
        <f t="shared" ref="E299" si="107">SUM(E300:E306)</f>
        <v>2936977.31</v>
      </c>
      <c r="F299" s="71" t="s">
        <v>2118</v>
      </c>
      <c r="G299" s="222"/>
      <c r="H299" s="107"/>
      <c r="J299" s="103"/>
    </row>
    <row r="300" spans="1:10" ht="18.75">
      <c r="A300" s="213"/>
      <c r="B300" s="110" t="s">
        <v>855</v>
      </c>
      <c r="C300" s="111" t="s">
        <v>1797</v>
      </c>
      <c r="D300" s="106">
        <f>+'Alimentazione CE Costi'!K293</f>
        <v>0</v>
      </c>
      <c r="E300" s="106">
        <f>+'Alimentazione CE Costi'!N293</f>
        <v>0</v>
      </c>
      <c r="F300" s="71"/>
      <c r="G300" s="222"/>
      <c r="H300" s="107"/>
      <c r="J300" s="103"/>
    </row>
    <row r="301" spans="1:10" ht="18.75">
      <c r="A301" s="213"/>
      <c r="B301" s="110" t="s">
        <v>857</v>
      </c>
      <c r="C301" s="111" t="s">
        <v>1798</v>
      </c>
      <c r="D301" s="106">
        <f>+'Alimentazione CE Costi'!K294</f>
        <v>0</v>
      </c>
      <c r="E301" s="106">
        <f>+'Alimentazione CE Costi'!N294</f>
        <v>0</v>
      </c>
      <c r="F301" s="71"/>
      <c r="G301" s="222"/>
      <c r="H301" s="107"/>
      <c r="J301" s="103"/>
    </row>
    <row r="302" spans="1:10" ht="25.5">
      <c r="A302" s="213"/>
      <c r="B302" s="110" t="s">
        <v>859</v>
      </c>
      <c r="C302" s="111" t="s">
        <v>1799</v>
      </c>
      <c r="D302" s="106">
        <f>+'Alimentazione CE Costi'!K295</f>
        <v>0</v>
      </c>
      <c r="E302" s="106">
        <f>+'Alimentazione CE Costi'!N295</f>
        <v>0</v>
      </c>
      <c r="F302" s="71"/>
      <c r="G302" s="222"/>
      <c r="H302" s="107"/>
      <c r="J302" s="103"/>
    </row>
    <row r="303" spans="1:10" ht="18.75">
      <c r="A303" s="213"/>
      <c r="B303" s="110" t="s">
        <v>861</v>
      </c>
      <c r="C303" s="111" t="s">
        <v>1800</v>
      </c>
      <c r="D303" s="106">
        <f>+'Alimentazione CE Costi'!K296</f>
        <v>0</v>
      </c>
      <c r="E303" s="106">
        <f>+'Alimentazione CE Costi'!N296</f>
        <v>0</v>
      </c>
      <c r="F303" s="71"/>
      <c r="G303" s="222"/>
      <c r="H303" s="107"/>
      <c r="J303" s="103"/>
    </row>
    <row r="304" spans="1:10" ht="18.75">
      <c r="A304" s="213"/>
      <c r="B304" s="110" t="s">
        <v>863</v>
      </c>
      <c r="C304" s="111" t="s">
        <v>1801</v>
      </c>
      <c r="D304" s="106">
        <f>+ROUND(SUM('Alimentazione CE Costi'!K298:K307),2)</f>
        <v>696802.86</v>
      </c>
      <c r="E304" s="106">
        <f>+ROUND(SUM('Alimentazione CE Costi'!N298:N307),2)</f>
        <v>1326044.8500000001</v>
      </c>
      <c r="F304" s="71"/>
      <c r="G304" s="222"/>
      <c r="H304" s="107"/>
      <c r="J304" s="103"/>
    </row>
    <row r="305" spans="1:10" ht="25.5">
      <c r="A305" s="213" t="s">
        <v>1530</v>
      </c>
      <c r="B305" s="110" t="s">
        <v>874</v>
      </c>
      <c r="C305" s="111" t="s">
        <v>1802</v>
      </c>
      <c r="D305" s="106">
        <f>+'Alimentazione CE Costi'!K309+'Alimentazione CE Costi'!K310</f>
        <v>1681337</v>
      </c>
      <c r="E305" s="106">
        <f>+'Alimentazione CE Costi'!N309+'Alimentazione CE Costi'!N310</f>
        <v>1610932.46</v>
      </c>
      <c r="F305" s="71"/>
      <c r="G305" s="222"/>
      <c r="H305" s="107"/>
      <c r="J305" s="103"/>
    </row>
    <row r="306" spans="1:10" ht="18.75">
      <c r="A306" s="213" t="s">
        <v>1530</v>
      </c>
      <c r="B306" s="110" t="s">
        <v>878</v>
      </c>
      <c r="C306" s="111" t="s">
        <v>1803</v>
      </c>
      <c r="D306" s="106">
        <f>+'Alimentazione CE Costi'!K311</f>
        <v>0</v>
      </c>
      <c r="E306" s="106">
        <f>+'Alimentazione CE Costi'!N311</f>
        <v>0</v>
      </c>
      <c r="F306" s="71"/>
      <c r="G306" s="222"/>
      <c r="H306" s="117"/>
      <c r="J306" s="103"/>
    </row>
    <row r="307" spans="1:10" ht="25.5">
      <c r="A307" s="213"/>
      <c r="B307" s="156" t="s">
        <v>880</v>
      </c>
      <c r="C307" s="157" t="s">
        <v>1804</v>
      </c>
      <c r="D307" s="143">
        <f t="shared" ref="D307" si="108">SUM(D308:D310,D317)</f>
        <v>3092473.2199999997</v>
      </c>
      <c r="E307" s="143">
        <f t="shared" ref="E307" si="109">SUM(E308:E310,E317)</f>
        <v>2408719.4900000002</v>
      </c>
      <c r="F307" s="71" t="s">
        <v>2118</v>
      </c>
      <c r="G307" s="222"/>
      <c r="H307" s="107"/>
      <c r="J307" s="103"/>
    </row>
    <row r="308" spans="1:10" ht="25.5">
      <c r="A308" s="215" t="s">
        <v>1530</v>
      </c>
      <c r="B308" s="110" t="s">
        <v>882</v>
      </c>
      <c r="C308" s="111" t="s">
        <v>1805</v>
      </c>
      <c r="D308" s="106">
        <f>+'Alimentazione CE Costi'!K313</f>
        <v>74602.880000000005</v>
      </c>
      <c r="E308" s="106">
        <f>+'Alimentazione CE Costi'!N313</f>
        <v>130103.06</v>
      </c>
      <c r="F308" s="356"/>
      <c r="G308" s="222"/>
      <c r="H308" s="107"/>
      <c r="J308" s="103"/>
    </row>
    <row r="309" spans="1:10" ht="25.5">
      <c r="A309" s="215"/>
      <c r="B309" s="110" t="s">
        <v>884</v>
      </c>
      <c r="C309" s="111" t="s">
        <v>1806</v>
      </c>
      <c r="D309" s="106">
        <f>+'Alimentazione CE Costi'!K314</f>
        <v>5201.5</v>
      </c>
      <c r="E309" s="106">
        <f>+'Alimentazione CE Costi'!N314</f>
        <v>1725.86</v>
      </c>
      <c r="F309" s="356"/>
      <c r="G309" s="222"/>
      <c r="H309" s="107"/>
      <c r="J309" s="103"/>
    </row>
    <row r="310" spans="1:10" ht="25.5">
      <c r="A310" s="215"/>
      <c r="B310" s="147" t="s">
        <v>886</v>
      </c>
      <c r="C310" s="148" t="s">
        <v>1807</v>
      </c>
      <c r="D310" s="146">
        <f t="shared" ref="D310" si="110">SUM(D311:D316)</f>
        <v>2978856.61</v>
      </c>
      <c r="E310" s="146">
        <f t="shared" ref="E310" si="111">SUM(E311:E316)</f>
        <v>2266482.35</v>
      </c>
      <c r="F310" s="71" t="s">
        <v>2118</v>
      </c>
      <c r="G310" s="222"/>
      <c r="H310" s="107"/>
      <c r="J310" s="103"/>
    </row>
    <row r="311" spans="1:10" ht="25.5">
      <c r="A311" s="215"/>
      <c r="B311" s="112" t="s">
        <v>888</v>
      </c>
      <c r="C311" s="113" t="s">
        <v>1808</v>
      </c>
      <c r="D311" s="106">
        <f>+'Alimentazione CE Costi'!K316</f>
        <v>174418.13</v>
      </c>
      <c r="E311" s="106">
        <f>+'Alimentazione CE Costi'!N316</f>
        <v>49134.67</v>
      </c>
      <c r="F311" s="356"/>
      <c r="G311" s="222"/>
      <c r="H311" s="107"/>
      <c r="J311" s="103"/>
    </row>
    <row r="312" spans="1:10" ht="25.5">
      <c r="A312" s="215"/>
      <c r="B312" s="112" t="s">
        <v>890</v>
      </c>
      <c r="C312" s="113" t="s">
        <v>1809</v>
      </c>
      <c r="D312" s="106">
        <f>+'Alimentazione CE Costi'!K318+'Alimentazione CE Costi'!K319+'Alimentazione CE Costi'!K320</f>
        <v>67745</v>
      </c>
      <c r="E312" s="106">
        <f>+'Alimentazione CE Costi'!N318+'Alimentazione CE Costi'!N319+'Alimentazione CE Costi'!N320</f>
        <v>30902.51</v>
      </c>
      <c r="F312" s="356"/>
      <c r="G312" s="222"/>
      <c r="H312" s="107"/>
      <c r="J312" s="103"/>
    </row>
    <row r="313" spans="1:10" ht="25.5">
      <c r="A313" s="215"/>
      <c r="B313" s="112" t="s">
        <v>895</v>
      </c>
      <c r="C313" s="113" t="s">
        <v>1810</v>
      </c>
      <c r="D313" s="106">
        <f>+'Alimentazione CE Costi'!K322+'Alimentazione CE Costi'!K323+'Alimentazione CE Costi'!K324+'Alimentazione CE Costi'!K325</f>
        <v>230922.44</v>
      </c>
      <c r="E313" s="106">
        <f>+'Alimentazione CE Costi'!N322+'Alimentazione CE Costi'!N323+'Alimentazione CE Costi'!N324+'Alimentazione CE Costi'!N325</f>
        <v>174214.19</v>
      </c>
      <c r="F313" s="356"/>
      <c r="G313" s="222"/>
      <c r="H313" s="107"/>
      <c r="J313" s="103"/>
    </row>
    <row r="314" spans="1:10" ht="25.5">
      <c r="A314" s="215"/>
      <c r="B314" s="112" t="s">
        <v>901</v>
      </c>
      <c r="C314" s="113" t="s">
        <v>1811</v>
      </c>
      <c r="D314" s="106">
        <f>+SUM('Alimentazione CE Costi'!K327:K337)</f>
        <v>898465.64</v>
      </c>
      <c r="E314" s="106">
        <f>+SUM('Alimentazione CE Costi'!N327:N337)</f>
        <v>736944</v>
      </c>
      <c r="F314" s="356"/>
      <c r="G314" s="222"/>
      <c r="H314" s="107"/>
      <c r="J314" s="103"/>
    </row>
    <row r="315" spans="1:10" ht="18.75">
      <c r="A315" s="215"/>
      <c r="B315" s="112" t="s">
        <v>904</v>
      </c>
      <c r="C315" s="113" t="s">
        <v>1812</v>
      </c>
      <c r="D315" s="106">
        <f>+'Alimentazione CE Costi'!K338</f>
        <v>39104.99</v>
      </c>
      <c r="E315" s="106">
        <f>+'Alimentazione CE Costi'!N338</f>
        <v>33772.28</v>
      </c>
      <c r="F315" s="356"/>
      <c r="G315" s="222"/>
      <c r="H315" s="107"/>
      <c r="J315" s="103"/>
    </row>
    <row r="316" spans="1:10" ht="25.5">
      <c r="A316" s="215"/>
      <c r="B316" s="112" t="s">
        <v>906</v>
      </c>
      <c r="C316" s="113" t="s">
        <v>1813</v>
      </c>
      <c r="D316" s="106">
        <f>+ROUND(SUM('Alimentazione CE Costi'!K340:K348),2)</f>
        <v>1568200.41</v>
      </c>
      <c r="E316" s="106">
        <f>+ROUND(SUM('Alimentazione CE Costi'!N340:N348),2)</f>
        <v>1241514.7</v>
      </c>
      <c r="F316" s="356"/>
      <c r="G316" s="222"/>
      <c r="H316" s="107"/>
      <c r="J316" s="103"/>
    </row>
    <row r="317" spans="1:10" ht="25.5">
      <c r="A317" s="215"/>
      <c r="B317" s="147" t="s">
        <v>917</v>
      </c>
      <c r="C317" s="148" t="s">
        <v>1814</v>
      </c>
      <c r="D317" s="146">
        <f t="shared" ref="D317" si="112">SUM(D318:D320)</f>
        <v>33812.230000000003</v>
      </c>
      <c r="E317" s="146">
        <f t="shared" ref="E317" si="113">SUM(E318:E320)</f>
        <v>10408.219999999999</v>
      </c>
      <c r="F317" s="71" t="s">
        <v>2118</v>
      </c>
      <c r="G317" s="222"/>
      <c r="H317" s="107"/>
      <c r="J317" s="103"/>
    </row>
    <row r="318" spans="1:10" ht="25.5">
      <c r="A318" s="215" t="s">
        <v>1530</v>
      </c>
      <c r="B318" s="112" t="s">
        <v>919</v>
      </c>
      <c r="C318" s="113" t="s">
        <v>1815</v>
      </c>
      <c r="D318" s="106">
        <f>+'Alimentazione CE Costi'!K350</f>
        <v>0</v>
      </c>
      <c r="E318" s="106">
        <f>+'Alimentazione CE Costi'!N350</f>
        <v>10408.219999999999</v>
      </c>
      <c r="F318" s="356"/>
      <c r="G318" s="222"/>
      <c r="H318" s="107"/>
      <c r="J318" s="103"/>
    </row>
    <row r="319" spans="1:10" ht="25.5">
      <c r="A319" s="215"/>
      <c r="B319" s="112" t="s">
        <v>921</v>
      </c>
      <c r="C319" s="113" t="s">
        <v>1816</v>
      </c>
      <c r="D319" s="106">
        <f>+'Alimentazione CE Costi'!K351</f>
        <v>0</v>
      </c>
      <c r="E319" s="106">
        <f>+'Alimentazione CE Costi'!N351</f>
        <v>0</v>
      </c>
      <c r="F319" s="356"/>
      <c r="G319" s="222"/>
      <c r="H319" s="107"/>
      <c r="J319" s="103"/>
    </row>
    <row r="320" spans="1:10" ht="25.5">
      <c r="A320" s="215" t="s">
        <v>1579</v>
      </c>
      <c r="B320" s="112" t="s">
        <v>923</v>
      </c>
      <c r="C320" s="113" t="s">
        <v>1817</v>
      </c>
      <c r="D320" s="106">
        <f>+'Alimentazione CE Costi'!K352</f>
        <v>33812.230000000003</v>
      </c>
      <c r="E320" s="106">
        <f>+'Alimentazione CE Costi'!N352</f>
        <v>0</v>
      </c>
      <c r="F320" s="356"/>
      <c r="G320" s="222"/>
      <c r="H320" s="107"/>
      <c r="J320" s="103"/>
    </row>
    <row r="321" spans="1:10" ht="25.5">
      <c r="A321" s="215"/>
      <c r="B321" s="156" t="s">
        <v>925</v>
      </c>
      <c r="C321" s="157" t="s">
        <v>1818</v>
      </c>
      <c r="D321" s="143">
        <f t="shared" ref="D321" si="114">SUM(D322:D328)</f>
        <v>711801.34</v>
      </c>
      <c r="E321" s="143">
        <f t="shared" ref="E321" si="115">SUM(E322:E328)</f>
        <v>930897.64</v>
      </c>
      <c r="F321" s="71" t="s">
        <v>2118</v>
      </c>
      <c r="G321" s="222"/>
      <c r="H321" s="107"/>
      <c r="J321" s="103"/>
    </row>
    <row r="322" spans="1:10" ht="38.25">
      <c r="A322" s="215" t="s">
        <v>1530</v>
      </c>
      <c r="B322" s="110" t="s">
        <v>927</v>
      </c>
      <c r="C322" s="111" t="s">
        <v>1819</v>
      </c>
      <c r="D322" s="106">
        <f>+'Alimentazione CE Costi'!K354</f>
        <v>0</v>
      </c>
      <c r="E322" s="106">
        <f>+'Alimentazione CE Costi'!N354</f>
        <v>0</v>
      </c>
      <c r="F322" s="356"/>
      <c r="G322" s="222"/>
      <c r="H322" s="107"/>
      <c r="J322" s="103"/>
    </row>
    <row r="323" spans="1:10" ht="25.5">
      <c r="A323" s="215"/>
      <c r="B323" s="110" t="s">
        <v>929</v>
      </c>
      <c r="C323" s="111" t="s">
        <v>1820</v>
      </c>
      <c r="D323" s="106">
        <f>+'Alimentazione CE Costi'!K355</f>
        <v>0</v>
      </c>
      <c r="E323" s="106">
        <f>+'Alimentazione CE Costi'!N355</f>
        <v>0</v>
      </c>
      <c r="F323" s="356"/>
      <c r="G323" s="222"/>
      <c r="H323" s="107"/>
      <c r="J323" s="103"/>
    </row>
    <row r="324" spans="1:10" ht="25.5">
      <c r="A324" s="215" t="s">
        <v>1579</v>
      </c>
      <c r="B324" s="110" t="s">
        <v>931</v>
      </c>
      <c r="C324" s="111" t="s">
        <v>1821</v>
      </c>
      <c r="D324" s="106">
        <f>+'Alimentazione CE Costi'!K356</f>
        <v>0</v>
      </c>
      <c r="E324" s="106">
        <f>+'Alimentazione CE Costi'!N356</f>
        <v>0</v>
      </c>
      <c r="F324" s="356"/>
      <c r="G324" s="222"/>
      <c r="H324" s="107"/>
      <c r="J324" s="103"/>
    </row>
    <row r="325" spans="1:10" ht="18.75">
      <c r="A325" s="215"/>
      <c r="B325" s="110" t="s">
        <v>933</v>
      </c>
      <c r="C325" s="111" t="s">
        <v>1822</v>
      </c>
      <c r="D325" s="106">
        <f>+'Alimentazione CE Costi'!K358+'Alimentazione CE Costi'!K361+'Alimentazione CE Costi'!K359+'Alimentazione CE Costi'!K360</f>
        <v>711801.34</v>
      </c>
      <c r="E325" s="106">
        <f>+'Alimentazione CE Costi'!N358+'Alimentazione CE Costi'!N361+'Alimentazione CE Costi'!N359+'Alimentazione CE Costi'!N360</f>
        <v>930897.64</v>
      </c>
      <c r="F325" s="356"/>
      <c r="G325" s="222"/>
      <c r="H325" s="107"/>
      <c r="J325" s="103"/>
    </row>
    <row r="326" spans="1:10" ht="25.5">
      <c r="A326" s="213"/>
      <c r="B326" s="110" t="s">
        <v>936</v>
      </c>
      <c r="C326" s="111" t="s">
        <v>1823</v>
      </c>
      <c r="D326" s="106">
        <f>+'Alimentazione CE Costi'!K362</f>
        <v>0</v>
      </c>
      <c r="E326" s="106">
        <f>+'Alimentazione CE Costi'!N362</f>
        <v>0</v>
      </c>
      <c r="F326" s="71"/>
      <c r="G326" s="222"/>
      <c r="H326" s="107"/>
      <c r="J326" s="103"/>
    </row>
    <row r="327" spans="1:10" ht="25.5">
      <c r="A327" s="213" t="s">
        <v>1530</v>
      </c>
      <c r="B327" s="110" t="s">
        <v>938</v>
      </c>
      <c r="C327" s="111" t="s">
        <v>1824</v>
      </c>
      <c r="D327" s="106">
        <f>+'Alimentazione CE Costi'!K363</f>
        <v>0</v>
      </c>
      <c r="E327" s="106">
        <f>+'Alimentazione CE Costi'!N363</f>
        <v>0</v>
      </c>
      <c r="F327" s="71"/>
      <c r="G327" s="222"/>
      <c r="H327" s="107"/>
      <c r="J327" s="103"/>
    </row>
    <row r="328" spans="1:10" ht="25.5">
      <c r="A328" s="213" t="s">
        <v>1579</v>
      </c>
      <c r="B328" s="110" t="s">
        <v>940</v>
      </c>
      <c r="C328" s="111" t="s">
        <v>1825</v>
      </c>
      <c r="D328" s="106">
        <f>+'Alimentazione CE Costi'!K364</f>
        <v>0</v>
      </c>
      <c r="E328" s="106">
        <f>+'Alimentazione CE Costi'!N364</f>
        <v>0</v>
      </c>
      <c r="F328" s="71"/>
      <c r="G328" s="222"/>
      <c r="H328" s="107"/>
      <c r="J328" s="103"/>
    </row>
    <row r="329" spans="1:10" ht="25.5">
      <c r="A329" s="216" t="s">
        <v>1575</v>
      </c>
      <c r="B329" s="108" t="s">
        <v>941</v>
      </c>
      <c r="C329" s="109" t="s">
        <v>1826</v>
      </c>
      <c r="D329" s="106">
        <f>+'Alimentazione CE Costi'!K365</f>
        <v>0</v>
      </c>
      <c r="E329" s="106">
        <f>+'Alimentazione CE Costi'!N365</f>
        <v>0</v>
      </c>
      <c r="F329" s="71"/>
      <c r="G329" s="222"/>
      <c r="H329" s="107"/>
      <c r="J329" s="103"/>
    </row>
    <row r="330" spans="1:10" ht="18.75">
      <c r="A330" s="213"/>
      <c r="B330" s="130" t="s">
        <v>943</v>
      </c>
      <c r="C330" s="131" t="s">
        <v>1827</v>
      </c>
      <c r="D330" s="129">
        <f t="shared" ref="D330" si="116">+D331+D351+D365</f>
        <v>11652254.180000002</v>
      </c>
      <c r="E330" s="129">
        <f t="shared" ref="E330" si="117">+E331+E351+E365</f>
        <v>10997531.440000001</v>
      </c>
      <c r="F330" s="71" t="s">
        <v>2118</v>
      </c>
      <c r="G330" s="222"/>
      <c r="H330" s="107"/>
      <c r="J330" s="103"/>
    </row>
    <row r="331" spans="1:10" ht="18.75">
      <c r="A331" s="213"/>
      <c r="B331" s="156" t="s">
        <v>945</v>
      </c>
      <c r="C331" s="157" t="s">
        <v>1828</v>
      </c>
      <c r="D331" s="143">
        <f t="shared" ref="D331" si="118">+D332+D333+D334+D337+D338+D339+D340+D341+D342+D343+D344+D347</f>
        <v>11204473.220000001</v>
      </c>
      <c r="E331" s="143">
        <f t="shared" ref="E331" si="119">+E332+E333+E334+E337+E338+E339+E340+E341+E342+E343+E344+E347</f>
        <v>10558136.770000001</v>
      </c>
      <c r="F331" s="71" t="s">
        <v>2118</v>
      </c>
      <c r="G331" s="222"/>
      <c r="H331" s="107"/>
      <c r="J331" s="103"/>
    </row>
    <row r="332" spans="1:10" ht="18.75">
      <c r="A332" s="213"/>
      <c r="B332" s="110" t="s">
        <v>947</v>
      </c>
      <c r="C332" s="111" t="s">
        <v>1829</v>
      </c>
      <c r="D332" s="106">
        <f>+'Alimentazione CE Costi'!K368</f>
        <v>582432.28</v>
      </c>
      <c r="E332" s="106">
        <f>+'Alimentazione CE Costi'!N368</f>
        <v>617689.86</v>
      </c>
      <c r="F332" s="71"/>
      <c r="G332" s="222"/>
      <c r="H332" s="107"/>
      <c r="J332" s="103"/>
    </row>
    <row r="333" spans="1:10" ht="18.75">
      <c r="A333" s="213"/>
      <c r="B333" s="110" t="s">
        <v>949</v>
      </c>
      <c r="C333" s="111" t="s">
        <v>1830</v>
      </c>
      <c r="D333" s="106">
        <f>+'Alimentazione CE Costi'!K369</f>
        <v>1945000.42</v>
      </c>
      <c r="E333" s="106">
        <f>+'Alimentazione CE Costi'!N369</f>
        <v>1826415.35</v>
      </c>
      <c r="F333" s="71"/>
      <c r="G333" s="222"/>
      <c r="H333" s="107"/>
      <c r="J333" s="103"/>
    </row>
    <row r="334" spans="1:10" ht="18.75">
      <c r="A334" s="213"/>
      <c r="B334" s="147" t="s">
        <v>951</v>
      </c>
      <c r="C334" s="148" t="s">
        <v>1831</v>
      </c>
      <c r="D334" s="146">
        <f t="shared" ref="D334" si="120">+D335+D336</f>
        <v>947647.64</v>
      </c>
      <c r="E334" s="146">
        <f t="shared" ref="E334" si="121">+E335+E336</f>
        <v>908515.81</v>
      </c>
      <c r="F334" s="71" t="s">
        <v>2118</v>
      </c>
      <c r="G334" s="222"/>
      <c r="H334" s="107"/>
      <c r="J334" s="103"/>
    </row>
    <row r="335" spans="1:10" ht="18.75">
      <c r="A335" s="213"/>
      <c r="B335" s="110" t="s">
        <v>953</v>
      </c>
      <c r="C335" s="111" t="s">
        <v>1832</v>
      </c>
      <c r="D335" s="106">
        <f>+'Alimentazione CE Costi'!K371</f>
        <v>224453.62</v>
      </c>
      <c r="E335" s="106">
        <f>+'Alimentazione CE Costi'!N371</f>
        <v>190472.07</v>
      </c>
      <c r="F335" s="71"/>
      <c r="G335" s="222"/>
      <c r="H335" s="107"/>
      <c r="J335" s="103"/>
    </row>
    <row r="336" spans="1:10" ht="18.75">
      <c r="A336" s="213"/>
      <c r="B336" s="110" t="s">
        <v>955</v>
      </c>
      <c r="C336" s="111" t="s">
        <v>1833</v>
      </c>
      <c r="D336" s="106">
        <f>+'Alimentazione CE Costi'!K372</f>
        <v>723194.02</v>
      </c>
      <c r="E336" s="106">
        <f>+'Alimentazione CE Costi'!N372</f>
        <v>718043.74</v>
      </c>
      <c r="F336" s="71"/>
      <c r="G336" s="222"/>
      <c r="H336" s="107"/>
      <c r="J336" s="103"/>
    </row>
    <row r="337" spans="1:10" ht="18.75">
      <c r="A337" s="213"/>
      <c r="B337" s="110" t="s">
        <v>957</v>
      </c>
      <c r="C337" s="111" t="s">
        <v>1834</v>
      </c>
      <c r="D337" s="106">
        <f>+'Alimentazione CE Costi'!K373</f>
        <v>1740995.79</v>
      </c>
      <c r="E337" s="106">
        <f>+'Alimentazione CE Costi'!N373</f>
        <v>1917050.62</v>
      </c>
      <c r="F337" s="71"/>
      <c r="G337" s="222"/>
      <c r="H337" s="107"/>
      <c r="J337" s="103"/>
    </row>
    <row r="338" spans="1:10" ht="18.75">
      <c r="A338" s="213"/>
      <c r="B338" s="110" t="s">
        <v>959</v>
      </c>
      <c r="C338" s="111" t="s">
        <v>1835</v>
      </c>
      <c r="D338" s="106">
        <f>+'Alimentazione CE Costi'!K375+'Alimentazione CE Costi'!K376+'Alimentazione CE Costi'!K377</f>
        <v>0</v>
      </c>
      <c r="E338" s="106">
        <f>+'Alimentazione CE Costi'!N375+'Alimentazione CE Costi'!N376+'Alimentazione CE Costi'!N377</f>
        <v>0</v>
      </c>
      <c r="F338" s="71"/>
      <c r="G338" s="222"/>
      <c r="H338" s="107"/>
      <c r="J338" s="103"/>
    </row>
    <row r="339" spans="1:10" ht="18.75">
      <c r="A339" s="213"/>
      <c r="B339" s="110" t="s">
        <v>964</v>
      </c>
      <c r="C339" s="111" t="s">
        <v>1836</v>
      </c>
      <c r="D339" s="106">
        <f>+'Alimentazione CE Costi'!K378</f>
        <v>328003.09999999998</v>
      </c>
      <c r="E339" s="106">
        <f>+'Alimentazione CE Costi'!N378</f>
        <v>255275.58</v>
      </c>
      <c r="F339" s="71"/>
      <c r="G339" s="222"/>
      <c r="H339" s="107"/>
      <c r="J339" s="103"/>
    </row>
    <row r="340" spans="1:10" ht="18.75">
      <c r="A340" s="213"/>
      <c r="B340" s="110" t="s">
        <v>966</v>
      </c>
      <c r="C340" s="111" t="s">
        <v>1837</v>
      </c>
      <c r="D340" s="106">
        <f>+'Alimentazione CE Costi'!K379</f>
        <v>353734.55</v>
      </c>
      <c r="E340" s="106">
        <f>+'Alimentazione CE Costi'!N379</f>
        <v>441958.45</v>
      </c>
      <c r="F340" s="71"/>
      <c r="G340" s="222"/>
      <c r="H340" s="107"/>
      <c r="J340" s="103"/>
    </row>
    <row r="341" spans="1:10" ht="18.75">
      <c r="A341" s="213"/>
      <c r="B341" s="110" t="s">
        <v>968</v>
      </c>
      <c r="C341" s="111" t="s">
        <v>1838</v>
      </c>
      <c r="D341" s="106">
        <f>+'Alimentazione CE Costi'!K381+'Alimentazione CE Costi'!K382</f>
        <v>90872.7</v>
      </c>
      <c r="E341" s="106">
        <f>+'Alimentazione CE Costi'!N381+'Alimentazione CE Costi'!N382</f>
        <v>93309.84</v>
      </c>
      <c r="F341" s="71"/>
      <c r="G341" s="222"/>
      <c r="H341" s="107"/>
      <c r="J341" s="103"/>
    </row>
    <row r="342" spans="1:10" ht="18.75">
      <c r="A342" s="213"/>
      <c r="B342" s="110" t="s">
        <v>972</v>
      </c>
      <c r="C342" s="111" t="s">
        <v>1839</v>
      </c>
      <c r="D342" s="106">
        <f>+'Alimentazione CE Costi'!K383</f>
        <v>776536.3</v>
      </c>
      <c r="E342" s="106">
        <f>+'Alimentazione CE Costi'!N383</f>
        <v>821973.29</v>
      </c>
      <c r="F342" s="71"/>
      <c r="G342" s="222"/>
      <c r="H342" s="107"/>
      <c r="J342" s="103"/>
    </row>
    <row r="343" spans="1:10" ht="18.75">
      <c r="A343" s="213"/>
      <c r="B343" s="110" t="s">
        <v>974</v>
      </c>
      <c r="C343" s="111" t="s">
        <v>1840</v>
      </c>
      <c r="D343" s="106">
        <f>+ROUND(SUM('Alimentazione CE Costi'!K385:K389),2)</f>
        <v>290087.03999999998</v>
      </c>
      <c r="E343" s="106">
        <f>+ROUND(SUM('Alimentazione CE Costi'!N385:N389),2)</f>
        <v>282392.24</v>
      </c>
      <c r="F343" s="71"/>
      <c r="G343" s="222"/>
      <c r="H343" s="107"/>
      <c r="J343" s="103"/>
    </row>
    <row r="344" spans="1:10" ht="18.75">
      <c r="A344" s="213"/>
      <c r="B344" s="147" t="s">
        <v>980</v>
      </c>
      <c r="C344" s="148" t="s">
        <v>1841</v>
      </c>
      <c r="D344" s="146">
        <f t="shared" ref="D344" si="122">+D345+D346</f>
        <v>77468.03</v>
      </c>
      <c r="E344" s="146">
        <f t="shared" ref="E344" si="123">+E345+E346</f>
        <v>66448.98</v>
      </c>
      <c r="F344" s="71" t="s">
        <v>2118</v>
      </c>
      <c r="G344" s="222"/>
      <c r="H344" s="107"/>
      <c r="J344" s="103"/>
    </row>
    <row r="345" spans="1:10" ht="18.75">
      <c r="A345" s="213"/>
      <c r="B345" s="112" t="s">
        <v>982</v>
      </c>
      <c r="C345" s="113" t="s">
        <v>1842</v>
      </c>
      <c r="D345" s="106">
        <f>+'Alimentazione CE Costi'!K391</f>
        <v>0</v>
      </c>
      <c r="E345" s="106">
        <f>+'Alimentazione CE Costi'!N391</f>
        <v>0</v>
      </c>
      <c r="F345" s="71"/>
      <c r="G345" s="222"/>
      <c r="H345" s="117"/>
      <c r="J345" s="103"/>
    </row>
    <row r="346" spans="1:10" ht="25.5">
      <c r="A346" s="213"/>
      <c r="B346" s="112" t="s">
        <v>984</v>
      </c>
      <c r="C346" s="113" t="s">
        <v>1843</v>
      </c>
      <c r="D346" s="106">
        <f>+'Alimentazione CE Costi'!K392</f>
        <v>77468.03</v>
      </c>
      <c r="E346" s="106">
        <f>+'Alimentazione CE Costi'!N392</f>
        <v>66448.98</v>
      </c>
      <c r="F346" s="71"/>
      <c r="G346" s="222"/>
      <c r="H346" s="107"/>
      <c r="J346" s="103"/>
    </row>
    <row r="347" spans="1:10" ht="18.75">
      <c r="A347" s="213"/>
      <c r="B347" s="147" t="s">
        <v>986</v>
      </c>
      <c r="C347" s="148" t="s">
        <v>1844</v>
      </c>
      <c r="D347" s="146">
        <f t="shared" ref="D347" si="124">+D348+D349+D350</f>
        <v>4071695.37</v>
      </c>
      <c r="E347" s="146">
        <f t="shared" ref="E347" si="125">+E348+E349+E350</f>
        <v>3327106.75</v>
      </c>
      <c r="F347" s="71" t="s">
        <v>2118</v>
      </c>
      <c r="G347" s="222"/>
      <c r="H347" s="107"/>
      <c r="J347" s="103"/>
    </row>
    <row r="348" spans="1:10" ht="25.5">
      <c r="A348" s="213" t="s">
        <v>1530</v>
      </c>
      <c r="B348" s="112" t="s">
        <v>988</v>
      </c>
      <c r="C348" s="113" t="s">
        <v>1845</v>
      </c>
      <c r="D348" s="106">
        <f>+'Alimentazione CE Costi'!K394</f>
        <v>447140.41</v>
      </c>
      <c r="E348" s="106">
        <f>+'Alimentazione CE Costi'!N394</f>
        <v>246521.57</v>
      </c>
      <c r="F348" s="71"/>
      <c r="G348" s="222"/>
      <c r="H348" s="107"/>
      <c r="J348" s="103"/>
    </row>
    <row r="349" spans="1:10" ht="25.5">
      <c r="A349" s="213"/>
      <c r="B349" s="112" t="s">
        <v>990</v>
      </c>
      <c r="C349" s="113" t="s">
        <v>1846</v>
      </c>
      <c r="D349" s="106">
        <f>+'Alimentazione CE Costi'!K396+'Alimentazione CE Costi'!K397</f>
        <v>0</v>
      </c>
      <c r="E349" s="106">
        <f>+'Alimentazione CE Costi'!N396+'Alimentazione CE Costi'!N397</f>
        <v>2561.9899999999998</v>
      </c>
      <c r="F349" s="71"/>
      <c r="G349" s="222"/>
      <c r="H349" s="107"/>
      <c r="J349" s="103"/>
    </row>
    <row r="350" spans="1:10" ht="18.75">
      <c r="A350" s="213"/>
      <c r="B350" s="112" t="s">
        <v>994</v>
      </c>
      <c r="C350" s="113" t="s">
        <v>1847</v>
      </c>
      <c r="D350" s="106">
        <f>+ROUND(SUM('Alimentazione CE Costi'!K399:K413),2)</f>
        <v>3624554.96</v>
      </c>
      <c r="E350" s="106">
        <f>+ROUND(SUM('Alimentazione CE Costi'!N399:N413),2)</f>
        <v>3078023.19</v>
      </c>
      <c r="F350" s="71"/>
      <c r="G350" s="222"/>
      <c r="H350" s="107"/>
      <c r="J350" s="103"/>
    </row>
    <row r="351" spans="1:10" ht="25.5">
      <c r="A351" s="213"/>
      <c r="B351" s="156" t="s">
        <v>1010</v>
      </c>
      <c r="C351" s="157" t="s">
        <v>1848</v>
      </c>
      <c r="D351" s="143">
        <f t="shared" ref="D351" si="126">+D352+D353+D354+D361</f>
        <v>277450.98999999993</v>
      </c>
      <c r="E351" s="143">
        <f t="shared" ref="E351" si="127">+E352+E353+E354+E361</f>
        <v>328653.03999999998</v>
      </c>
      <c r="F351" s="71" t="s">
        <v>2118</v>
      </c>
      <c r="G351" s="222"/>
      <c r="H351" s="107"/>
      <c r="J351" s="103"/>
    </row>
    <row r="352" spans="1:10" ht="25.5">
      <c r="A352" s="213" t="s">
        <v>1530</v>
      </c>
      <c r="B352" s="110" t="s">
        <v>1012</v>
      </c>
      <c r="C352" s="111" t="s">
        <v>1849</v>
      </c>
      <c r="D352" s="106">
        <f>+'Alimentazione CE Costi'!K415</f>
        <v>8009.05</v>
      </c>
      <c r="E352" s="106">
        <f>+'Alimentazione CE Costi'!N415</f>
        <v>11980.87</v>
      </c>
      <c r="F352" s="71"/>
      <c r="G352" s="222"/>
      <c r="H352" s="107"/>
      <c r="J352" s="103"/>
    </row>
    <row r="353" spans="1:10" ht="25.5">
      <c r="A353" s="213"/>
      <c r="B353" s="110" t="s">
        <v>1014</v>
      </c>
      <c r="C353" s="111" t="s">
        <v>1850</v>
      </c>
      <c r="D353" s="106">
        <f>+'Alimentazione CE Costi'!K416</f>
        <v>0</v>
      </c>
      <c r="E353" s="106">
        <f>+'Alimentazione CE Costi'!N416</f>
        <v>0</v>
      </c>
      <c r="F353" s="71"/>
      <c r="G353" s="222"/>
      <c r="H353" s="107"/>
      <c r="J353" s="103"/>
    </row>
    <row r="354" spans="1:10" ht="25.5">
      <c r="A354" s="213"/>
      <c r="B354" s="147" t="s">
        <v>1016</v>
      </c>
      <c r="C354" s="148" t="s">
        <v>1851</v>
      </c>
      <c r="D354" s="146">
        <f t="shared" ref="D354" si="128">SUM(D355:D360)</f>
        <v>269441.93999999994</v>
      </c>
      <c r="E354" s="146">
        <f t="shared" ref="E354" si="129">SUM(E355:E360)</f>
        <v>316672.17</v>
      </c>
      <c r="F354" s="71" t="s">
        <v>2118</v>
      </c>
      <c r="G354" s="222"/>
      <c r="H354" s="107"/>
      <c r="J354" s="103"/>
    </row>
    <row r="355" spans="1:10" ht="18.75">
      <c r="A355" s="213"/>
      <c r="B355" s="112" t="s">
        <v>1018</v>
      </c>
      <c r="C355" s="113" t="s">
        <v>1852</v>
      </c>
      <c r="D355" s="106">
        <f>+'Alimentazione CE Costi'!K419+'Alimentazione CE Costi'!K420+'Alimentazione CE Costi'!K421+'Alimentazione CE Costi'!K422+'Alimentazione CE Costi'!K423</f>
        <v>7947.19</v>
      </c>
      <c r="E355" s="106">
        <f>+'Alimentazione CE Costi'!N419+'Alimentazione CE Costi'!N420+'Alimentazione CE Costi'!N421+'Alimentazione CE Costi'!N422+'Alimentazione CE Costi'!N423</f>
        <v>8664.41</v>
      </c>
      <c r="F355" s="71"/>
      <c r="G355" s="222"/>
      <c r="H355" s="107"/>
      <c r="J355" s="103"/>
    </row>
    <row r="356" spans="1:10" ht="25.5">
      <c r="A356" s="213"/>
      <c r="B356" s="112" t="s">
        <v>1025</v>
      </c>
      <c r="C356" s="113" t="s">
        <v>1853</v>
      </c>
      <c r="D356" s="106">
        <f>+'Alimentazione CE Costi'!K424</f>
        <v>0</v>
      </c>
      <c r="E356" s="106">
        <f>+'Alimentazione CE Costi'!N424</f>
        <v>0</v>
      </c>
      <c r="F356" s="71"/>
      <c r="G356" s="222"/>
      <c r="H356" s="107"/>
      <c r="J356" s="103"/>
    </row>
    <row r="357" spans="1:10" ht="25.5">
      <c r="A357" s="213"/>
      <c r="B357" s="112" t="s">
        <v>1027</v>
      </c>
      <c r="C357" s="113" t="s">
        <v>1854</v>
      </c>
      <c r="D357" s="106">
        <f>+'Alimentazione CE Costi'!K425</f>
        <v>0</v>
      </c>
      <c r="E357" s="106">
        <f>+'Alimentazione CE Costi'!N425</f>
        <v>0</v>
      </c>
      <c r="F357" s="71"/>
      <c r="G357" s="222"/>
      <c r="H357" s="107"/>
      <c r="J357" s="103"/>
    </row>
    <row r="358" spans="1:10" ht="18.75">
      <c r="A358" s="213"/>
      <c r="B358" s="112" t="s">
        <v>1029</v>
      </c>
      <c r="C358" s="113" t="s">
        <v>1855</v>
      </c>
      <c r="D358" s="106">
        <f>+'Alimentazione CE Costi'!K426</f>
        <v>229028.51999999996</v>
      </c>
      <c r="E358" s="106">
        <f>+'Alimentazione CE Costi'!N426</f>
        <v>278211.52</v>
      </c>
      <c r="F358" s="71"/>
      <c r="G358" s="222"/>
      <c r="H358" s="107"/>
      <c r="J358" s="103"/>
    </row>
    <row r="359" spans="1:10" ht="25.5">
      <c r="A359" s="213"/>
      <c r="B359" s="112" t="s">
        <v>1031</v>
      </c>
      <c r="C359" s="113" t="s">
        <v>1856</v>
      </c>
      <c r="D359" s="116">
        <f>+SUM('Alimentazione CE Costi'!K428:K432)</f>
        <v>32466.23</v>
      </c>
      <c r="E359" s="116">
        <f>+SUM('Alimentazione CE Costi'!N428:N432)</f>
        <v>29796.240000000002</v>
      </c>
      <c r="F359" s="71"/>
      <c r="G359" s="222"/>
      <c r="H359" s="107"/>
      <c r="J359" s="103"/>
    </row>
    <row r="360" spans="1:10" ht="51">
      <c r="A360" s="213"/>
      <c r="B360" s="112" t="s">
        <v>1037</v>
      </c>
      <c r="C360" s="113" t="s">
        <v>1857</v>
      </c>
      <c r="D360" s="106">
        <f>+'Alimentazione CE Costi'!K433</f>
        <v>0</v>
      </c>
      <c r="E360" s="106">
        <f>+'Alimentazione CE Costi'!N433</f>
        <v>0</v>
      </c>
      <c r="F360" s="71"/>
      <c r="G360" s="222"/>
      <c r="H360" s="107"/>
      <c r="J360" s="103"/>
    </row>
    <row r="361" spans="1:10" ht="25.5">
      <c r="A361" s="213"/>
      <c r="B361" s="147" t="s">
        <v>1039</v>
      </c>
      <c r="C361" s="148" t="s">
        <v>1858</v>
      </c>
      <c r="D361" s="146">
        <f t="shared" ref="D361" si="130">SUM(D362:D364)</f>
        <v>0</v>
      </c>
      <c r="E361" s="146">
        <f t="shared" ref="E361" si="131">SUM(E362:E364)</f>
        <v>0</v>
      </c>
      <c r="F361" s="71" t="s">
        <v>2118</v>
      </c>
      <c r="G361" s="222"/>
      <c r="H361" s="107"/>
      <c r="J361" s="103"/>
    </row>
    <row r="362" spans="1:10" ht="38.25">
      <c r="A362" s="213" t="s">
        <v>1530</v>
      </c>
      <c r="B362" s="112" t="s">
        <v>1041</v>
      </c>
      <c r="C362" s="113" t="s">
        <v>1859</v>
      </c>
      <c r="D362" s="106">
        <f>+'Alimentazione CE Costi'!K435</f>
        <v>0</v>
      </c>
      <c r="E362" s="106">
        <f>+'Alimentazione CE Costi'!N435</f>
        <v>0</v>
      </c>
      <c r="F362" s="71"/>
      <c r="G362" s="222"/>
      <c r="H362" s="107"/>
      <c r="J362" s="103"/>
    </row>
    <row r="363" spans="1:10" ht="38.25">
      <c r="A363" s="213"/>
      <c r="B363" s="112" t="s">
        <v>1043</v>
      </c>
      <c r="C363" s="113" t="s">
        <v>1860</v>
      </c>
      <c r="D363" s="106">
        <f>+'Alimentazione CE Costi'!K436</f>
        <v>0</v>
      </c>
      <c r="E363" s="106">
        <f>+'Alimentazione CE Costi'!N436</f>
        <v>0</v>
      </c>
      <c r="F363" s="71"/>
      <c r="G363" s="222"/>
      <c r="H363" s="107"/>
      <c r="J363" s="103"/>
    </row>
    <row r="364" spans="1:10" ht="38.25">
      <c r="A364" s="213" t="s">
        <v>1579</v>
      </c>
      <c r="B364" s="112" t="s">
        <v>1045</v>
      </c>
      <c r="C364" s="113" t="s">
        <v>1861</v>
      </c>
      <c r="D364" s="106">
        <f>+'Alimentazione CE Costi'!K437</f>
        <v>0</v>
      </c>
      <c r="E364" s="106">
        <f>+'Alimentazione CE Costi'!N437</f>
        <v>0</v>
      </c>
      <c r="F364" s="71"/>
      <c r="G364" s="222"/>
      <c r="H364" s="107"/>
      <c r="J364" s="103"/>
    </row>
    <row r="365" spans="1:10" ht="18.75">
      <c r="A365" s="213"/>
      <c r="B365" s="156" t="s">
        <v>1047</v>
      </c>
      <c r="C365" s="157" t="s">
        <v>1862</v>
      </c>
      <c r="D365" s="143">
        <f t="shared" ref="D365" si="132">+D366+D367</f>
        <v>170329.97</v>
      </c>
      <c r="E365" s="143">
        <f t="shared" ref="E365" si="133">+E366+E367</f>
        <v>110741.63</v>
      </c>
      <c r="F365" s="71" t="s">
        <v>2118</v>
      </c>
      <c r="G365" s="222"/>
      <c r="H365" s="107"/>
      <c r="J365" s="103"/>
    </row>
    <row r="366" spans="1:10" ht="18.75">
      <c r="A366" s="213"/>
      <c r="B366" s="110" t="s">
        <v>1049</v>
      </c>
      <c r="C366" s="111" t="s">
        <v>1863</v>
      </c>
      <c r="D366" s="106">
        <f>+'Alimentazione CE Costi'!K439</f>
        <v>695.26</v>
      </c>
      <c r="E366" s="106">
        <f>+'Alimentazione CE Costi'!N439</f>
        <v>2291.5700000000002</v>
      </c>
      <c r="F366" s="71"/>
      <c r="G366" s="222"/>
      <c r="H366" s="107"/>
      <c r="J366" s="103"/>
    </row>
    <row r="367" spans="1:10" ht="18.75">
      <c r="A367" s="213"/>
      <c r="B367" s="110" t="s">
        <v>1051</v>
      </c>
      <c r="C367" s="111" t="s">
        <v>1864</v>
      </c>
      <c r="D367" s="106">
        <f>+'Alimentazione CE Costi'!K440</f>
        <v>169634.71</v>
      </c>
      <c r="E367" s="106">
        <f>+'Alimentazione CE Costi'!N440</f>
        <v>108450.06</v>
      </c>
      <c r="F367" s="71"/>
      <c r="G367" s="222"/>
      <c r="H367" s="107"/>
      <c r="J367" s="103"/>
    </row>
    <row r="368" spans="1:10" ht="25.5">
      <c r="A368" s="213"/>
      <c r="B368" s="135" t="s">
        <v>1865</v>
      </c>
      <c r="C368" s="136" t="s">
        <v>1866</v>
      </c>
      <c r="D368" s="137">
        <f t="shared" ref="D368" si="134">SUM(D369:D375)</f>
        <v>1948329.82</v>
      </c>
      <c r="E368" s="137">
        <f t="shared" ref="E368" si="135">SUM(E369:E375)</f>
        <v>1961873.3699999999</v>
      </c>
      <c r="F368" s="71" t="s">
        <v>2118</v>
      </c>
      <c r="G368" s="222"/>
      <c r="H368" s="107"/>
      <c r="J368" s="103"/>
    </row>
    <row r="369" spans="1:10" ht="25.5">
      <c r="A369" s="213"/>
      <c r="B369" s="108" t="s">
        <v>1054</v>
      </c>
      <c r="C369" s="109" t="s">
        <v>1867</v>
      </c>
      <c r="D369" s="106">
        <f>+'Alimentazione CE Costi'!K442</f>
        <v>64067.74</v>
      </c>
      <c r="E369" s="106">
        <f>+'Alimentazione CE Costi'!N442</f>
        <v>63376.480000000003</v>
      </c>
      <c r="F369" s="71"/>
      <c r="G369" s="222"/>
      <c r="H369" s="107"/>
      <c r="J369" s="103"/>
    </row>
    <row r="370" spans="1:10" ht="25.5">
      <c r="A370" s="213"/>
      <c r="B370" s="108" t="s">
        <v>1056</v>
      </c>
      <c r="C370" s="109" t="s">
        <v>1868</v>
      </c>
      <c r="D370" s="106">
        <f>+'Alimentazione CE Costi'!K444+'Alimentazione CE Costi'!K445+'Alimentazione CE Costi'!K446</f>
        <v>221552.25</v>
      </c>
      <c r="E370" s="106">
        <f>+'Alimentazione CE Costi'!N444+'Alimentazione CE Costi'!N445+'Alimentazione CE Costi'!N446</f>
        <v>209380.94</v>
      </c>
      <c r="F370" s="71"/>
      <c r="G370" s="222"/>
      <c r="H370" s="107"/>
      <c r="J370" s="103"/>
    </row>
    <row r="371" spans="1:10" ht="25.5">
      <c r="A371" s="213"/>
      <c r="B371" s="108" t="s">
        <v>1061</v>
      </c>
      <c r="C371" s="109" t="s">
        <v>1869</v>
      </c>
      <c r="D371" s="106">
        <f>+'Alimentazione CE Costi'!K447</f>
        <v>1559747.71</v>
      </c>
      <c r="E371" s="106">
        <f>+'Alimentazione CE Costi'!N447</f>
        <v>1592762.72</v>
      </c>
      <c r="F371" s="71"/>
      <c r="G371" s="222"/>
      <c r="H371" s="107"/>
      <c r="J371" s="103"/>
    </row>
    <row r="372" spans="1:10" ht="18.75">
      <c r="A372" s="213"/>
      <c r="B372" s="108" t="s">
        <v>1063</v>
      </c>
      <c r="C372" s="109" t="s">
        <v>1870</v>
      </c>
      <c r="D372" s="106">
        <f>+'Alimentazione CE Costi'!K448</f>
        <v>3541.11</v>
      </c>
      <c r="E372" s="106">
        <f>+'Alimentazione CE Costi'!N448</f>
        <v>0</v>
      </c>
      <c r="F372" s="71"/>
      <c r="G372" s="222"/>
      <c r="H372" s="107"/>
      <c r="J372" s="103"/>
    </row>
    <row r="373" spans="1:10" ht="18.75">
      <c r="A373" s="213"/>
      <c r="B373" s="108" t="s">
        <v>1065</v>
      </c>
      <c r="C373" s="109" t="s">
        <v>1871</v>
      </c>
      <c r="D373" s="106">
        <f>+'Alimentazione CE Costi'!K449</f>
        <v>0</v>
      </c>
      <c r="E373" s="106">
        <f>+'Alimentazione CE Costi'!N449</f>
        <v>2680.02</v>
      </c>
      <c r="F373" s="71"/>
      <c r="G373" s="222"/>
      <c r="H373" s="107"/>
      <c r="J373" s="103"/>
    </row>
    <row r="374" spans="1:10" ht="18.75">
      <c r="A374" s="213"/>
      <c r="B374" s="108" t="s">
        <v>1067</v>
      </c>
      <c r="C374" s="109" t="s">
        <v>1872</v>
      </c>
      <c r="D374" s="106">
        <f>+'Alimentazione CE Costi'!K451+'Alimentazione CE Costi'!K452+'Alimentazione CE Costi'!K453</f>
        <v>99421.01</v>
      </c>
      <c r="E374" s="106">
        <f>+'Alimentazione CE Costi'!N451+'Alimentazione CE Costi'!N452+'Alimentazione CE Costi'!N453</f>
        <v>93673.209999999992</v>
      </c>
      <c r="F374" s="71"/>
      <c r="G374" s="222"/>
      <c r="H374" s="107"/>
      <c r="J374" s="103"/>
    </row>
    <row r="375" spans="1:10" ht="25.5">
      <c r="A375" s="218" t="s">
        <v>1530</v>
      </c>
      <c r="B375" s="108" t="s">
        <v>1071</v>
      </c>
      <c r="C375" s="109" t="s">
        <v>1873</v>
      </c>
      <c r="D375" s="106">
        <f>+'Alimentazione CE Costi'!K454</f>
        <v>0</v>
      </c>
      <c r="E375" s="106">
        <f>+'Alimentazione CE Costi'!N454</f>
        <v>0</v>
      </c>
      <c r="F375" s="71"/>
      <c r="G375" s="222"/>
      <c r="H375" s="107"/>
      <c r="J375" s="103"/>
    </row>
    <row r="376" spans="1:10" ht="18.75">
      <c r="A376" s="213"/>
      <c r="B376" s="135" t="s">
        <v>1072</v>
      </c>
      <c r="C376" s="136" t="s">
        <v>1874</v>
      </c>
      <c r="D376" s="137">
        <f t="shared" ref="D376" si="136">+D377+D378+D381+D384+D385</f>
        <v>1723263.31</v>
      </c>
      <c r="E376" s="137">
        <f t="shared" ref="E376" si="137">+E377+E378+E381+E384+E385</f>
        <v>893937.46000000008</v>
      </c>
      <c r="F376" s="71" t="s">
        <v>2118</v>
      </c>
      <c r="G376" s="222"/>
      <c r="H376" s="107"/>
      <c r="J376" s="103"/>
    </row>
    <row r="377" spans="1:10" ht="18.75">
      <c r="A377" s="213"/>
      <c r="B377" s="108" t="s">
        <v>1074</v>
      </c>
      <c r="C377" s="109" t="s">
        <v>1875</v>
      </c>
      <c r="D377" s="106">
        <f>+'Alimentazione CE Costi'!K457+'Alimentazione CE Costi'!K458</f>
        <v>45845.65</v>
      </c>
      <c r="E377" s="106">
        <f>+'Alimentazione CE Costi'!N457+'Alimentazione CE Costi'!N458</f>
        <v>31507.41</v>
      </c>
      <c r="F377" s="71"/>
      <c r="G377" s="222"/>
      <c r="H377" s="107"/>
      <c r="J377" s="103"/>
    </row>
    <row r="378" spans="1:10" ht="18.75">
      <c r="A378" s="213"/>
      <c r="B378" s="130" t="s">
        <v>1078</v>
      </c>
      <c r="C378" s="131" t="s">
        <v>1876</v>
      </c>
      <c r="D378" s="129">
        <f t="shared" ref="D378" si="138">+D379+D380</f>
        <v>1378890.9300000002</v>
      </c>
      <c r="E378" s="129">
        <f t="shared" ref="E378" si="139">+E379+E380</f>
        <v>700056.41</v>
      </c>
      <c r="F378" s="71" t="s">
        <v>2118</v>
      </c>
      <c r="G378" s="222"/>
      <c r="H378" s="107"/>
      <c r="J378" s="103"/>
    </row>
    <row r="379" spans="1:10" ht="18.75">
      <c r="A379" s="213"/>
      <c r="B379" s="110" t="s">
        <v>1080</v>
      </c>
      <c r="C379" s="111" t="s">
        <v>1877</v>
      </c>
      <c r="D379" s="106">
        <f>+'Alimentazione CE Costi'!K460</f>
        <v>1057490.55</v>
      </c>
      <c r="E379" s="106">
        <f>+'Alimentazione CE Costi'!N460</f>
        <v>468002.52</v>
      </c>
      <c r="F379" s="71"/>
      <c r="G379" s="222"/>
      <c r="H379" s="107"/>
      <c r="J379" s="103"/>
    </row>
    <row r="380" spans="1:10" ht="18.75">
      <c r="A380" s="213"/>
      <c r="B380" s="110" t="s">
        <v>1082</v>
      </c>
      <c r="C380" s="111" t="s">
        <v>1878</v>
      </c>
      <c r="D380" s="106">
        <f>+ROUND(SUM('Alimentazione CE Costi'!K462:K465),2)</f>
        <v>321400.38</v>
      </c>
      <c r="E380" s="106">
        <f>+ROUND(SUM('Alimentazione CE Costi'!N462:N465),2)</f>
        <v>232053.89</v>
      </c>
      <c r="F380" s="71"/>
      <c r="G380" s="222"/>
      <c r="H380" s="107"/>
      <c r="J380" s="103"/>
    </row>
    <row r="381" spans="1:10" ht="18.75">
      <c r="A381" s="213"/>
      <c r="B381" s="130" t="s">
        <v>1088</v>
      </c>
      <c r="C381" s="131" t="s">
        <v>1879</v>
      </c>
      <c r="D381" s="129">
        <f t="shared" ref="D381" si="140">+D382+D383</f>
        <v>46702.29</v>
      </c>
      <c r="E381" s="129">
        <f t="shared" ref="E381" si="141">+E382+E383</f>
        <v>36461.42</v>
      </c>
      <c r="F381" s="71" t="s">
        <v>2118</v>
      </c>
      <c r="G381" s="222"/>
      <c r="H381" s="107"/>
      <c r="J381" s="103"/>
    </row>
    <row r="382" spans="1:10" ht="18.75">
      <c r="A382" s="213"/>
      <c r="B382" s="110" t="s">
        <v>1090</v>
      </c>
      <c r="C382" s="111" t="s">
        <v>1880</v>
      </c>
      <c r="D382" s="106">
        <f>+'Alimentazione CE Costi'!K468+'Alimentazione CE Costi'!K469</f>
        <v>46702.29</v>
      </c>
      <c r="E382" s="106">
        <f>+'Alimentazione CE Costi'!N468+'Alimentazione CE Costi'!N469</f>
        <v>36461.42</v>
      </c>
      <c r="F382" s="71"/>
      <c r="G382" s="222"/>
      <c r="H382" s="107"/>
      <c r="J382" s="103"/>
    </row>
    <row r="383" spans="1:10" ht="18.75">
      <c r="A383" s="213"/>
      <c r="B383" s="110" t="s">
        <v>1094</v>
      </c>
      <c r="C383" s="111" t="s">
        <v>1881</v>
      </c>
      <c r="D383" s="106">
        <f>+'Alimentazione CE Costi'!K471+'Alimentazione CE Costi'!K472</f>
        <v>0</v>
      </c>
      <c r="E383" s="106">
        <f>+'Alimentazione CE Costi'!N471+'Alimentazione CE Costi'!N472</f>
        <v>0</v>
      </c>
      <c r="F383" s="71"/>
      <c r="G383" s="222"/>
      <c r="H383" s="107"/>
      <c r="J383" s="103"/>
    </row>
    <row r="384" spans="1:10" ht="18.75">
      <c r="A384" s="215"/>
      <c r="B384" s="108" t="s">
        <v>1096</v>
      </c>
      <c r="C384" s="109" t="s">
        <v>1882</v>
      </c>
      <c r="D384" s="106">
        <f>+'Alimentazione CE Costi'!K473</f>
        <v>251824.44</v>
      </c>
      <c r="E384" s="106">
        <f>+'Alimentazione CE Costi'!N473</f>
        <v>125912.22</v>
      </c>
      <c r="F384" s="356"/>
      <c r="G384" s="222"/>
      <c r="H384" s="107"/>
      <c r="J384" s="103"/>
    </row>
    <row r="385" spans="1:10" ht="25.5">
      <c r="A385" s="219" t="s">
        <v>1530</v>
      </c>
      <c r="B385" s="108" t="s">
        <v>1098</v>
      </c>
      <c r="C385" s="109" t="s">
        <v>1883</v>
      </c>
      <c r="D385" s="106">
        <f>+'Alimentazione CE Costi'!K474</f>
        <v>0</v>
      </c>
      <c r="E385" s="106">
        <f>+'Alimentazione CE Costi'!N474</f>
        <v>0</v>
      </c>
      <c r="F385" s="356"/>
      <c r="G385" s="222"/>
      <c r="H385" s="107"/>
      <c r="J385" s="103"/>
    </row>
    <row r="386" spans="1:10" ht="18.75">
      <c r="A386" s="213"/>
      <c r="B386" s="158" t="s">
        <v>1884</v>
      </c>
      <c r="C386" s="159" t="s">
        <v>1885</v>
      </c>
      <c r="D386" s="160">
        <f t="shared" ref="D386" si="142">+D387+D401+D410+D419</f>
        <v>46477866.499999993</v>
      </c>
      <c r="E386" s="160">
        <f t="shared" ref="E386" si="143">+E387+E401+E410+E419</f>
        <v>42971652.400000006</v>
      </c>
      <c r="F386" s="71" t="s">
        <v>2118</v>
      </c>
      <c r="G386" s="222"/>
      <c r="H386" s="107"/>
      <c r="J386" s="103"/>
    </row>
    <row r="387" spans="1:10" ht="18.75">
      <c r="A387" s="213"/>
      <c r="B387" s="135" t="s">
        <v>1100</v>
      </c>
      <c r="C387" s="136" t="s">
        <v>1886</v>
      </c>
      <c r="D387" s="137">
        <f t="shared" ref="D387" si="144">+D388+D397</f>
        <v>38047365.549999997</v>
      </c>
      <c r="E387" s="137">
        <f t="shared" ref="E387" si="145">+E388+E397</f>
        <v>35155693.450000003</v>
      </c>
      <c r="F387" s="71" t="s">
        <v>2118</v>
      </c>
      <c r="G387" s="222"/>
      <c r="H387" s="107"/>
      <c r="J387" s="103"/>
    </row>
    <row r="388" spans="1:10" ht="18.75">
      <c r="A388" s="213"/>
      <c r="B388" s="130" t="s">
        <v>1102</v>
      </c>
      <c r="C388" s="131" t="s">
        <v>1887</v>
      </c>
      <c r="D388" s="129">
        <f t="shared" ref="D388" si="146">+D389+D393</f>
        <v>18172480.669999998</v>
      </c>
      <c r="E388" s="129">
        <f t="shared" ref="E388" si="147">+E389+E393</f>
        <v>16599905.57</v>
      </c>
      <c r="F388" s="71" t="s">
        <v>2118</v>
      </c>
      <c r="G388" s="222"/>
      <c r="H388" s="107"/>
      <c r="J388" s="103"/>
    </row>
    <row r="389" spans="1:10" ht="18.75">
      <c r="A389" s="213"/>
      <c r="B389" s="141" t="s">
        <v>1104</v>
      </c>
      <c r="C389" s="142" t="s">
        <v>1888</v>
      </c>
      <c r="D389" s="143">
        <f t="shared" ref="D389" si="148">SUM(D390:D392)</f>
        <v>15995285.889999999</v>
      </c>
      <c r="E389" s="143">
        <f t="shared" ref="E389" si="149">SUM(E390:E392)</f>
        <v>14740585.109999999</v>
      </c>
      <c r="F389" s="71" t="s">
        <v>2118</v>
      </c>
      <c r="G389" s="222"/>
      <c r="H389" s="107"/>
      <c r="J389" s="103"/>
    </row>
    <row r="390" spans="1:10" ht="25.5">
      <c r="A390" s="213"/>
      <c r="B390" s="110" t="s">
        <v>1106</v>
      </c>
      <c r="C390" s="111" t="s">
        <v>1889</v>
      </c>
      <c r="D390" s="106">
        <f>+ROUND(SUM('Alimentazione CE Costi'!K479:K490),2)</f>
        <v>14492059.029999999</v>
      </c>
      <c r="E390" s="106">
        <f>+ROUND(SUM('Alimentazione CE Costi'!N479:N490),2)</f>
        <v>13307662.75</v>
      </c>
      <c r="F390" s="71"/>
      <c r="G390" s="222"/>
      <c r="H390" s="107"/>
      <c r="J390" s="103"/>
    </row>
    <row r="391" spans="1:10" ht="25.5">
      <c r="A391" s="213"/>
      <c r="B391" s="110" t="s">
        <v>1124</v>
      </c>
      <c r="C391" s="111" t="s">
        <v>1890</v>
      </c>
      <c r="D391" s="106">
        <f>+ROUND(SUM('Alimentazione CE Costi'!K492:K503),2)</f>
        <v>1503226.86</v>
      </c>
      <c r="E391" s="106">
        <f>+ROUND(SUM('Alimentazione CE Costi'!N492:N503),2)</f>
        <v>1432922.36</v>
      </c>
      <c r="F391" s="71"/>
      <c r="G391" s="222"/>
      <c r="H391" s="107"/>
      <c r="J391" s="103"/>
    </row>
    <row r="392" spans="1:10" ht="18.75">
      <c r="A392" s="213"/>
      <c r="B392" s="110" t="s">
        <v>1126</v>
      </c>
      <c r="C392" s="111" t="s">
        <v>1891</v>
      </c>
      <c r="D392" s="106">
        <f>+'Alimentazione CE Costi'!K504</f>
        <v>0</v>
      </c>
      <c r="E392" s="106">
        <f>+'Alimentazione CE Costi'!N504</f>
        <v>0</v>
      </c>
      <c r="F392" s="71"/>
      <c r="G392" s="222"/>
      <c r="H392" s="107"/>
      <c r="J392" s="103"/>
    </row>
    <row r="393" spans="1:10" ht="18.75">
      <c r="A393" s="213"/>
      <c r="B393" s="141" t="s">
        <v>1128</v>
      </c>
      <c r="C393" s="142" t="s">
        <v>1892</v>
      </c>
      <c r="D393" s="143">
        <f t="shared" ref="D393" si="150">SUM(D394:D396)</f>
        <v>2177194.7800000003</v>
      </c>
      <c r="E393" s="143">
        <f t="shared" ref="E393" si="151">SUM(E394:E396)</f>
        <v>1859320.46</v>
      </c>
      <c r="F393" s="71" t="s">
        <v>2118</v>
      </c>
      <c r="G393" s="222"/>
      <c r="H393" s="107"/>
      <c r="J393" s="103"/>
    </row>
    <row r="394" spans="1:10" ht="25.5">
      <c r="A394" s="213"/>
      <c r="B394" s="110" t="s">
        <v>1130</v>
      </c>
      <c r="C394" s="111" t="s">
        <v>1893</v>
      </c>
      <c r="D394" s="106">
        <f>+ROUND(SUM('Alimentazione CE Costi'!K507:K515),2)</f>
        <v>2050072.33</v>
      </c>
      <c r="E394" s="106">
        <f>+ROUND(SUM('Alimentazione CE Costi'!N507:N515),2)</f>
        <v>1750163.55</v>
      </c>
      <c r="F394" s="71"/>
      <c r="G394" s="222"/>
      <c r="H394" s="107"/>
      <c r="J394" s="103"/>
    </row>
    <row r="395" spans="1:10" ht="25.5">
      <c r="A395" s="213"/>
      <c r="B395" s="110" t="s">
        <v>1137</v>
      </c>
      <c r="C395" s="111" t="s">
        <v>1894</v>
      </c>
      <c r="D395" s="106">
        <f>+ROUND(SUM('Alimentazione CE Costi'!K517:K525),2)</f>
        <v>127122.45</v>
      </c>
      <c r="E395" s="106">
        <f>+ROUND(SUM('Alimentazione CE Costi'!N517:N525),2)</f>
        <v>109156.91</v>
      </c>
      <c r="F395" s="71"/>
      <c r="G395" s="222"/>
      <c r="H395" s="107"/>
      <c r="J395" s="103"/>
    </row>
    <row r="396" spans="1:10" ht="18.75">
      <c r="A396" s="213"/>
      <c r="B396" s="110" t="s">
        <v>1138</v>
      </c>
      <c r="C396" s="111" t="s">
        <v>1895</v>
      </c>
      <c r="D396" s="106">
        <f>+'Alimentazione CE Costi'!K526</f>
        <v>0</v>
      </c>
      <c r="E396" s="106">
        <f>+'Alimentazione CE Costi'!N526</f>
        <v>0</v>
      </c>
      <c r="F396" s="71"/>
      <c r="G396" s="222"/>
      <c r="H396" s="107"/>
      <c r="J396" s="103"/>
    </row>
    <row r="397" spans="1:10" ht="18.75">
      <c r="A397" s="213"/>
      <c r="B397" s="156" t="s">
        <v>1140</v>
      </c>
      <c r="C397" s="157" t="s">
        <v>1896</v>
      </c>
      <c r="D397" s="143">
        <f t="shared" ref="D397" si="152">SUM(D398:D400)</f>
        <v>19874884.879999999</v>
      </c>
      <c r="E397" s="143">
        <f t="shared" ref="E397" si="153">SUM(E398:E400)</f>
        <v>18555787.879999999</v>
      </c>
      <c r="F397" s="71" t="s">
        <v>2118</v>
      </c>
      <c r="G397" s="222"/>
      <c r="H397" s="107"/>
      <c r="J397" s="103"/>
    </row>
    <row r="398" spans="1:10" ht="25.5">
      <c r="A398" s="213"/>
      <c r="B398" s="110" t="s">
        <v>1142</v>
      </c>
      <c r="C398" s="111" t="s">
        <v>1897</v>
      </c>
      <c r="D398" s="106">
        <f>+ROUND(SUM('Alimentazione CE Costi'!K529:K566),2)</f>
        <v>17258583.77</v>
      </c>
      <c r="E398" s="106">
        <f>+ROUND(SUM('Alimentazione CE Costi'!N529:N566),2)</f>
        <v>15667289.939999999</v>
      </c>
      <c r="F398" s="71"/>
      <c r="G398" s="222"/>
      <c r="H398" s="107"/>
      <c r="J398" s="103"/>
    </row>
    <row r="399" spans="1:10" ht="25.5">
      <c r="A399" s="213"/>
      <c r="B399" s="110" t="s">
        <v>1148</v>
      </c>
      <c r="C399" s="111" t="s">
        <v>1898</v>
      </c>
      <c r="D399" s="106">
        <f>+ROUND(SUM('Alimentazione CE Costi'!K568:K579)+SUM('Alimentazione CE Costi'!K580:K605),2)</f>
        <v>2616301.11</v>
      </c>
      <c r="E399" s="106">
        <f>+ROUND(SUM('Alimentazione CE Costi'!N568:N579)+SUM('Alimentazione CE Costi'!N580:N605),2)</f>
        <v>2888497.94</v>
      </c>
      <c r="F399" s="71"/>
      <c r="G399" s="222"/>
      <c r="H399" s="107"/>
      <c r="J399" s="103"/>
    </row>
    <row r="400" spans="1:10" ht="18.75">
      <c r="A400" s="213"/>
      <c r="B400" s="110" t="s">
        <v>1150</v>
      </c>
      <c r="C400" s="111" t="s">
        <v>1899</v>
      </c>
      <c r="D400" s="106">
        <f>+'Alimentazione CE Costi'!K606</f>
        <v>0</v>
      </c>
      <c r="E400" s="106">
        <f>+'Alimentazione CE Costi'!N606</f>
        <v>0</v>
      </c>
      <c r="F400" s="71"/>
      <c r="G400" s="222"/>
      <c r="H400" s="107"/>
      <c r="J400" s="103"/>
    </row>
    <row r="401" spans="1:10" ht="18.75">
      <c r="A401" s="213"/>
      <c r="B401" s="135" t="s">
        <v>1152</v>
      </c>
      <c r="C401" s="136" t="s">
        <v>1900</v>
      </c>
      <c r="D401" s="137">
        <f t="shared" ref="D401" si="154">+D402+D406</f>
        <v>234319.50999999998</v>
      </c>
      <c r="E401" s="137">
        <f t="shared" ref="E401" si="155">+E402+E406</f>
        <v>176283.27</v>
      </c>
      <c r="F401" s="71" t="s">
        <v>2118</v>
      </c>
      <c r="G401" s="222"/>
      <c r="H401" s="107"/>
      <c r="J401" s="103"/>
    </row>
    <row r="402" spans="1:10" ht="25.5">
      <c r="A402" s="213"/>
      <c r="B402" s="130" t="s">
        <v>1154</v>
      </c>
      <c r="C402" s="131" t="s">
        <v>1901</v>
      </c>
      <c r="D402" s="129">
        <f t="shared" ref="D402" si="156">SUM(D403:D405)</f>
        <v>234319.50999999998</v>
      </c>
      <c r="E402" s="129">
        <f t="shared" ref="E402" si="157">SUM(E403:E405)</f>
        <v>176283.27</v>
      </c>
      <c r="F402" s="71" t="s">
        <v>2118</v>
      </c>
      <c r="G402" s="222"/>
      <c r="H402" s="107"/>
      <c r="J402" s="103"/>
    </row>
    <row r="403" spans="1:10" ht="25.5">
      <c r="A403" s="213"/>
      <c r="B403" s="110" t="s">
        <v>1156</v>
      </c>
      <c r="C403" s="111" t="s">
        <v>1902</v>
      </c>
      <c r="D403" s="106">
        <f>+ROUND(SUM('Alimentazione CE Costi'!K610:K618),2)</f>
        <v>228420.11</v>
      </c>
      <c r="E403" s="106">
        <f>+ROUND(SUM('Alimentazione CE Costi'!N610:N618),2)</f>
        <v>142427.99</v>
      </c>
      <c r="F403" s="71"/>
      <c r="G403" s="222"/>
      <c r="H403" s="107"/>
      <c r="J403" s="103"/>
    </row>
    <row r="404" spans="1:10" ht="25.5">
      <c r="A404" s="213"/>
      <c r="B404" s="110" t="s">
        <v>1159</v>
      </c>
      <c r="C404" s="111" t="s">
        <v>1903</v>
      </c>
      <c r="D404" s="106">
        <f>+ROUND(SUM('Alimentazione CE Costi'!K620:K628),2)</f>
        <v>5899.4</v>
      </c>
      <c r="E404" s="106">
        <f>+ROUND(SUM('Alimentazione CE Costi'!N620:N628),2)</f>
        <v>33855.279999999999</v>
      </c>
      <c r="F404" s="71"/>
      <c r="G404" s="222"/>
      <c r="H404" s="107"/>
      <c r="J404" s="103"/>
    </row>
    <row r="405" spans="1:10" ht="25.5">
      <c r="A405" s="213"/>
      <c r="B405" s="110" t="s">
        <v>1161</v>
      </c>
      <c r="C405" s="111" t="s">
        <v>1904</v>
      </c>
      <c r="D405" s="106">
        <f>+'Alimentazione CE Costi'!K629</f>
        <v>0</v>
      </c>
      <c r="E405" s="106">
        <f>+'Alimentazione CE Costi'!N629</f>
        <v>0</v>
      </c>
      <c r="F405" s="71"/>
      <c r="G405" s="222"/>
      <c r="H405" s="107"/>
      <c r="J405" s="103"/>
    </row>
    <row r="406" spans="1:10" ht="25.5">
      <c r="A406" s="213"/>
      <c r="B406" s="130" t="s">
        <v>1163</v>
      </c>
      <c r="C406" s="131" t="s">
        <v>1905</v>
      </c>
      <c r="D406" s="129">
        <f t="shared" ref="D406" si="158">SUM(D407:D409)</f>
        <v>0</v>
      </c>
      <c r="E406" s="129">
        <f t="shared" ref="E406" si="159">SUM(E407:E409)</f>
        <v>0</v>
      </c>
      <c r="F406" s="71" t="s">
        <v>2118</v>
      </c>
      <c r="G406" s="222"/>
      <c r="H406" s="107"/>
      <c r="J406" s="103"/>
    </row>
    <row r="407" spans="1:10" ht="25.5">
      <c r="A407" s="213"/>
      <c r="B407" s="110" t="s">
        <v>1165</v>
      </c>
      <c r="C407" s="111" t="s">
        <v>1906</v>
      </c>
      <c r="D407" s="106">
        <f>+ROUND(SUM('Alimentazione CE Costi'!K632:K643),2)</f>
        <v>0</v>
      </c>
      <c r="E407" s="106">
        <f>+ROUND(SUM('Alimentazione CE Costi'!N632:N643),2)</f>
        <v>0</v>
      </c>
      <c r="F407" s="71"/>
      <c r="G407" s="222"/>
      <c r="H407" s="107"/>
      <c r="J407" s="103"/>
    </row>
    <row r="408" spans="1:10" ht="25.5">
      <c r="A408" s="213"/>
      <c r="B408" s="110" t="s">
        <v>1167</v>
      </c>
      <c r="C408" s="111" t="s">
        <v>1907</v>
      </c>
      <c r="D408" s="106">
        <f>+ROUND(SUM('Alimentazione CE Costi'!K645:K656),2)</f>
        <v>0</v>
      </c>
      <c r="E408" s="106">
        <f>+ROUND(SUM('Alimentazione CE Costi'!N645:N656),2)</f>
        <v>0</v>
      </c>
      <c r="F408" s="71"/>
      <c r="G408" s="222"/>
      <c r="H408" s="107"/>
      <c r="J408" s="103"/>
    </row>
    <row r="409" spans="1:10" ht="25.5">
      <c r="A409" s="213"/>
      <c r="B409" s="110" t="s">
        <v>1169</v>
      </c>
      <c r="C409" s="111" t="s">
        <v>1908</v>
      </c>
      <c r="D409" s="106">
        <f>+'Alimentazione CE Costi'!K657</f>
        <v>0</v>
      </c>
      <c r="E409" s="106">
        <f>+'Alimentazione CE Costi'!N657</f>
        <v>0</v>
      </c>
      <c r="F409" s="71"/>
      <c r="G409" s="222"/>
      <c r="H409" s="107"/>
      <c r="J409" s="103"/>
    </row>
    <row r="410" spans="1:10" ht="18.75">
      <c r="A410" s="213"/>
      <c r="B410" s="135" t="s">
        <v>1171</v>
      </c>
      <c r="C410" s="136" t="s">
        <v>1909</v>
      </c>
      <c r="D410" s="137">
        <f t="shared" ref="D410" si="160">+D411+D415</f>
        <v>4681262.5000000009</v>
      </c>
      <c r="E410" s="137">
        <f t="shared" ref="E410" si="161">+E411+E415</f>
        <v>4299634.32</v>
      </c>
      <c r="F410" s="71" t="s">
        <v>2118</v>
      </c>
      <c r="G410" s="222"/>
      <c r="H410" s="107"/>
      <c r="J410" s="103"/>
    </row>
    <row r="411" spans="1:10" ht="18.75">
      <c r="A411" s="213"/>
      <c r="B411" s="130" t="s">
        <v>1173</v>
      </c>
      <c r="C411" s="131" t="s">
        <v>1910</v>
      </c>
      <c r="D411" s="129">
        <f t="shared" ref="D411" si="162">SUM(D412:D414)</f>
        <v>341624.69</v>
      </c>
      <c r="E411" s="129">
        <f t="shared" ref="E411" si="163">SUM(E412:E414)</f>
        <v>254327.46999999997</v>
      </c>
      <c r="F411" s="71" t="s">
        <v>2118</v>
      </c>
      <c r="G411" s="222"/>
      <c r="H411" s="107"/>
      <c r="J411" s="103"/>
    </row>
    <row r="412" spans="1:10" ht="25.5">
      <c r="A412" s="213"/>
      <c r="B412" s="110" t="s">
        <v>1175</v>
      </c>
      <c r="C412" s="111" t="s">
        <v>1911</v>
      </c>
      <c r="D412" s="106">
        <f>+ROUND(SUM('Alimentazione CE Costi'!K661:K679),2)</f>
        <v>271443.73</v>
      </c>
      <c r="E412" s="106">
        <f>+ROUND(SUM('Alimentazione CE Costi'!N661:N679),2)</f>
        <v>218893.27</v>
      </c>
      <c r="F412" s="71"/>
      <c r="G412" s="222"/>
      <c r="H412" s="107"/>
      <c r="J412" s="103"/>
    </row>
    <row r="413" spans="1:10" ht="25.5">
      <c r="A413" s="213"/>
      <c r="B413" s="110" t="s">
        <v>1178</v>
      </c>
      <c r="C413" s="111" t="s">
        <v>1912</v>
      </c>
      <c r="D413" s="106">
        <f>+ROUND(SUM('Alimentazione CE Costi'!L679:L699),2)</f>
        <v>70180.960000000006</v>
      </c>
      <c r="E413" s="106">
        <f>+ROUND(SUM('Alimentazione CE Costi'!N679:N699),2)</f>
        <v>35434.199999999997</v>
      </c>
      <c r="F413" s="71"/>
      <c r="G413" s="222"/>
      <c r="H413" s="107"/>
      <c r="J413" s="103"/>
    </row>
    <row r="414" spans="1:10" ht="18.75">
      <c r="A414" s="213"/>
      <c r="B414" s="110" t="s">
        <v>1180</v>
      </c>
      <c r="C414" s="111" t="s">
        <v>1913</v>
      </c>
      <c r="D414" s="106">
        <f>+'Alimentazione CE Costi'!K700++'Alimentazione CE Costi'!K701</f>
        <v>0</v>
      </c>
      <c r="E414" s="106">
        <f>+'Alimentazione CE Costi'!N700++'Alimentazione CE Costi'!N701</f>
        <v>0</v>
      </c>
      <c r="F414" s="71"/>
      <c r="G414" s="222"/>
      <c r="H414" s="107"/>
      <c r="J414" s="103"/>
    </row>
    <row r="415" spans="1:10" ht="18.75">
      <c r="A415" s="213"/>
      <c r="B415" s="130" t="s">
        <v>1182</v>
      </c>
      <c r="C415" s="131" t="s">
        <v>1914</v>
      </c>
      <c r="D415" s="129">
        <f t="shared" ref="D415" si="164">SUM(D416:D418)</f>
        <v>4339637.8100000005</v>
      </c>
      <c r="E415" s="129">
        <f t="shared" ref="E415" si="165">SUM(E416:E418)</f>
        <v>4045306.85</v>
      </c>
      <c r="F415" s="71" t="s">
        <v>2118</v>
      </c>
      <c r="G415" s="222"/>
      <c r="H415" s="107"/>
      <c r="J415" s="103"/>
    </row>
    <row r="416" spans="1:10" ht="25.5">
      <c r="A416" s="213"/>
      <c r="B416" s="110" t="s">
        <v>1184</v>
      </c>
      <c r="C416" s="111" t="s">
        <v>1915</v>
      </c>
      <c r="D416" s="106">
        <f>+ROUND(SUM('Alimentazione CE Costi'!K704:K728),2)</f>
        <v>4248512.08</v>
      </c>
      <c r="E416" s="106">
        <f>+ROUND(SUM('Alimentazione CE Costi'!N704:N728),2)</f>
        <v>3925762.89</v>
      </c>
      <c r="F416" s="71"/>
      <c r="G416" s="222"/>
      <c r="H416" s="107"/>
      <c r="J416" s="103"/>
    </row>
    <row r="417" spans="1:10" ht="25.5">
      <c r="A417" s="213"/>
      <c r="B417" s="110" t="s">
        <v>1186</v>
      </c>
      <c r="C417" s="111" t="s">
        <v>1916</v>
      </c>
      <c r="D417" s="106">
        <f>+ROUND(SUM('Alimentazione CE Costi'!K730:K754),2)</f>
        <v>91125.73</v>
      </c>
      <c r="E417" s="106">
        <f>+ROUND(SUM('Alimentazione CE Costi'!N730:N754),2)</f>
        <v>119543.96</v>
      </c>
      <c r="F417" s="71"/>
      <c r="G417" s="222"/>
      <c r="H417" s="107"/>
      <c r="J417" s="103"/>
    </row>
    <row r="418" spans="1:10" ht="18.75">
      <c r="A418" s="213"/>
      <c r="B418" s="110" t="s">
        <v>1188</v>
      </c>
      <c r="C418" s="111" t="s">
        <v>1917</v>
      </c>
      <c r="D418" s="106">
        <f>+'Alimentazione CE Costi'!K755++'Alimentazione CE Costi'!K756</f>
        <v>0</v>
      </c>
      <c r="E418" s="106">
        <f>+'Alimentazione CE Costi'!N755++'Alimentazione CE Costi'!N756</f>
        <v>0</v>
      </c>
      <c r="F418" s="71"/>
      <c r="G418" s="222"/>
      <c r="H418" s="107"/>
      <c r="J418" s="103"/>
    </row>
    <row r="419" spans="1:10" ht="18.75">
      <c r="A419" s="213"/>
      <c r="B419" s="135" t="s">
        <v>1190</v>
      </c>
      <c r="C419" s="136" t="s">
        <v>1918</v>
      </c>
      <c r="D419" s="137">
        <f t="shared" ref="D419" si="166">+D420+D424</f>
        <v>3514918.94</v>
      </c>
      <c r="E419" s="137">
        <f t="shared" ref="E419" si="167">+E420+E424</f>
        <v>3340041.3600000003</v>
      </c>
      <c r="F419" s="71" t="s">
        <v>2118</v>
      </c>
      <c r="G419" s="222"/>
      <c r="H419" s="107"/>
      <c r="J419" s="103"/>
    </row>
    <row r="420" spans="1:10" ht="25.5">
      <c r="A420" s="213"/>
      <c r="B420" s="130" t="s">
        <v>1192</v>
      </c>
      <c r="C420" s="131" t="s">
        <v>1919</v>
      </c>
      <c r="D420" s="129">
        <f t="shared" ref="D420" si="168">SUM(D421:D423)</f>
        <v>770357.29</v>
      </c>
      <c r="E420" s="129">
        <f t="shared" ref="E420" si="169">SUM(E421:E423)</f>
        <v>603226.28</v>
      </c>
      <c r="F420" s="71" t="s">
        <v>2118</v>
      </c>
      <c r="G420" s="222"/>
      <c r="H420" s="107"/>
      <c r="J420" s="103"/>
    </row>
    <row r="421" spans="1:10" ht="25.5">
      <c r="A421" s="213"/>
      <c r="B421" s="110" t="s">
        <v>1194</v>
      </c>
      <c r="C421" s="111" t="s">
        <v>1920</v>
      </c>
      <c r="D421" s="106">
        <f>+ROUND(SUM('Alimentazione CE Costi'!K760:K768),2)</f>
        <v>770357.29</v>
      </c>
      <c r="E421" s="106">
        <f>+ROUND(SUM('Alimentazione CE Costi'!N760:N768),2)</f>
        <v>603226.28</v>
      </c>
      <c r="F421" s="71"/>
      <c r="G421" s="222"/>
      <c r="H421" s="107"/>
      <c r="J421" s="103"/>
    </row>
    <row r="422" spans="1:10" ht="25.5">
      <c r="A422" s="213"/>
      <c r="B422" s="110" t="s">
        <v>1197</v>
      </c>
      <c r="C422" s="111" t="s">
        <v>1921</v>
      </c>
      <c r="D422" s="106">
        <f>+ROUND(SUM('Alimentazione CE Costi'!K770:K778),2)</f>
        <v>0</v>
      </c>
      <c r="E422" s="106">
        <f>+ROUND(SUM('Alimentazione CE Costi'!N770:N778),2)</f>
        <v>0</v>
      </c>
      <c r="F422" s="71"/>
      <c r="G422" s="222"/>
      <c r="H422" s="107"/>
      <c r="J422" s="103"/>
    </row>
    <row r="423" spans="1:10" ht="25.5">
      <c r="A423" s="213"/>
      <c r="B423" s="110" t="s">
        <v>1199</v>
      </c>
      <c r="C423" s="111" t="s">
        <v>1922</v>
      </c>
      <c r="D423" s="106">
        <f>+'Alimentazione CE Costi'!K779</f>
        <v>0</v>
      </c>
      <c r="E423" s="106">
        <f>+'Alimentazione CE Costi'!N779</f>
        <v>0</v>
      </c>
      <c r="F423" s="71"/>
      <c r="G423" s="222"/>
      <c r="H423" s="107"/>
      <c r="J423" s="103"/>
    </row>
    <row r="424" spans="1:10" ht="25.5">
      <c r="A424" s="213"/>
      <c r="B424" s="130" t="s">
        <v>1201</v>
      </c>
      <c r="C424" s="131" t="s">
        <v>1923</v>
      </c>
      <c r="D424" s="129">
        <f t="shared" ref="D424" si="170">SUM(D425:D427)</f>
        <v>2744561.65</v>
      </c>
      <c r="E424" s="129">
        <f t="shared" ref="E424" si="171">SUM(E425:E427)</f>
        <v>2736815.08</v>
      </c>
      <c r="F424" s="71" t="s">
        <v>2118</v>
      </c>
      <c r="G424" s="222"/>
      <c r="H424" s="107"/>
      <c r="J424" s="103"/>
    </row>
    <row r="425" spans="1:10" ht="25.5">
      <c r="A425" s="213"/>
      <c r="B425" s="110" t="s">
        <v>1203</v>
      </c>
      <c r="C425" s="111" t="s">
        <v>1924</v>
      </c>
      <c r="D425" s="106">
        <f>+ROUND(SUM('Alimentazione CE Costi'!K782:K793),2)</f>
        <v>2268557.46</v>
      </c>
      <c r="E425" s="106">
        <f>+ROUND(SUM('Alimentazione CE Costi'!N782:N793),2)</f>
        <v>2068314.8</v>
      </c>
      <c r="F425" s="71"/>
      <c r="G425" s="222"/>
      <c r="H425" s="107"/>
      <c r="J425" s="103"/>
    </row>
    <row r="426" spans="1:10" ht="25.5">
      <c r="A426" s="213"/>
      <c r="B426" s="110" t="s">
        <v>1205</v>
      </c>
      <c r="C426" s="111" t="s">
        <v>1925</v>
      </c>
      <c r="D426" s="106">
        <f>+ROUND(SUM('Alimentazione CE Costi'!K795:K806),2)</f>
        <v>476004.19</v>
      </c>
      <c r="E426" s="106">
        <f>+ROUND(SUM('Alimentazione CE Costi'!N795:N806),2)</f>
        <v>668500.28</v>
      </c>
      <c r="F426" s="71"/>
      <c r="G426" s="222"/>
      <c r="H426" s="107"/>
      <c r="J426" s="103"/>
    </row>
    <row r="427" spans="1:10" ht="25.5">
      <c r="A427" s="213"/>
      <c r="B427" s="110" t="s">
        <v>1207</v>
      </c>
      <c r="C427" s="111" t="s">
        <v>1926</v>
      </c>
      <c r="D427" s="106">
        <f>+'Alimentazione CE Costi'!K807</f>
        <v>0</v>
      </c>
      <c r="E427" s="106">
        <f>+'Alimentazione CE Costi'!N807</f>
        <v>0</v>
      </c>
      <c r="F427" s="71"/>
      <c r="G427" s="222"/>
      <c r="H427" s="107"/>
      <c r="J427" s="103"/>
    </row>
    <row r="428" spans="1:10" ht="18.75">
      <c r="A428" s="213"/>
      <c r="B428" s="135" t="s">
        <v>1208</v>
      </c>
      <c r="C428" s="136" t="s">
        <v>1927</v>
      </c>
      <c r="D428" s="137">
        <f t="shared" ref="D428" si="172">+D429+D430+D431</f>
        <v>931926.89999999991</v>
      </c>
      <c r="E428" s="137">
        <f t="shared" ref="E428" si="173">+E429+E430+E431</f>
        <v>933093.42</v>
      </c>
      <c r="F428" s="71" t="s">
        <v>2118</v>
      </c>
      <c r="G428" s="222"/>
      <c r="H428" s="107"/>
      <c r="J428" s="103"/>
    </row>
    <row r="429" spans="1:10" ht="18.75">
      <c r="A429" s="213"/>
      <c r="B429" s="108" t="s">
        <v>1210</v>
      </c>
      <c r="C429" s="109" t="s">
        <v>1928</v>
      </c>
      <c r="D429" s="116">
        <f>+ROUND(SUM('Alimentazione CE Costi'!K810:K816),2)</f>
        <v>152803.32999999999</v>
      </c>
      <c r="E429" s="116">
        <f>+ROUND(SUM('Alimentazione CE Costi'!N810:N816),2)</f>
        <v>154238.12</v>
      </c>
      <c r="F429" s="71"/>
      <c r="G429" s="222"/>
      <c r="H429" s="107"/>
      <c r="J429" s="103"/>
    </row>
    <row r="430" spans="1:10" ht="18.75">
      <c r="A430" s="213"/>
      <c r="B430" s="108" t="s">
        <v>1219</v>
      </c>
      <c r="C430" s="109" t="s">
        <v>1929</v>
      </c>
      <c r="D430" s="116">
        <f>+'Alimentazione CE Costi'!K817</f>
        <v>0</v>
      </c>
      <c r="E430" s="116">
        <f>+'Alimentazione CE Costi'!N817</f>
        <v>0</v>
      </c>
      <c r="F430" s="71"/>
      <c r="G430" s="222"/>
      <c r="H430" s="107"/>
      <c r="J430" s="103"/>
    </row>
    <row r="431" spans="1:10" ht="18.75">
      <c r="A431" s="213"/>
      <c r="B431" s="130" t="s">
        <v>1221</v>
      </c>
      <c r="C431" s="131" t="s">
        <v>1930</v>
      </c>
      <c r="D431" s="129">
        <f t="shared" ref="D431" si="174">+D432+D433+D434+D435</f>
        <v>779123.57</v>
      </c>
      <c r="E431" s="129">
        <f t="shared" ref="E431" si="175">+E432+E433+E434+E435</f>
        <v>778855.3</v>
      </c>
      <c r="F431" s="71" t="s">
        <v>2118</v>
      </c>
      <c r="G431" s="222"/>
      <c r="H431" s="107"/>
      <c r="J431" s="103"/>
    </row>
    <row r="432" spans="1:10" ht="25.5">
      <c r="A432" s="213"/>
      <c r="B432" s="110" t="s">
        <v>1223</v>
      </c>
      <c r="C432" s="111" t="s">
        <v>1931</v>
      </c>
      <c r="D432" s="106">
        <f>+ROUND(SUM('Alimentazione CE Costi'!K821:K831),2)</f>
        <v>779123.57</v>
      </c>
      <c r="E432" s="106">
        <f>+ROUND(SUM('Alimentazione CE Costi'!N821:N831),2)</f>
        <v>778855.3</v>
      </c>
      <c r="F432" s="71"/>
      <c r="G432" s="222"/>
      <c r="H432" s="107"/>
      <c r="J432" s="103"/>
    </row>
    <row r="433" spans="1:10" ht="18.75">
      <c r="A433" s="213"/>
      <c r="B433" s="110" t="s">
        <v>1231</v>
      </c>
      <c r="C433" s="111" t="s">
        <v>1932</v>
      </c>
      <c r="D433" s="106">
        <f>+'Alimentazione CE Costi'!K833+'Alimentazione CE Costi'!K834+'Alimentazione CE Costi'!K835</f>
        <v>0</v>
      </c>
      <c r="E433" s="106">
        <f>+'Alimentazione CE Costi'!N833+'Alimentazione CE Costi'!N834+'Alimentazione CE Costi'!N835</f>
        <v>0</v>
      </c>
      <c r="F433" s="71"/>
      <c r="G433" s="222"/>
      <c r="H433" s="107"/>
      <c r="J433" s="103"/>
    </row>
    <row r="434" spans="1:10" ht="25.5">
      <c r="A434" s="213" t="s">
        <v>1530</v>
      </c>
      <c r="B434" s="110" t="s">
        <v>1235</v>
      </c>
      <c r="C434" s="111" t="s">
        <v>1933</v>
      </c>
      <c r="D434" s="106">
        <f>+'Alimentazione CE Costi'!K836</f>
        <v>0</v>
      </c>
      <c r="E434" s="106">
        <f>+'Alimentazione CE Costi'!N836</f>
        <v>0</v>
      </c>
      <c r="F434" s="71"/>
      <c r="G434" s="222"/>
      <c r="H434" s="107"/>
      <c r="J434" s="103"/>
    </row>
    <row r="435" spans="1:10" ht="25.5">
      <c r="A435" s="213"/>
      <c r="B435" s="110" t="s">
        <v>1237</v>
      </c>
      <c r="C435" s="111" t="s">
        <v>1934</v>
      </c>
      <c r="D435" s="106">
        <f>+'Alimentazione CE Costi'!K837</f>
        <v>0</v>
      </c>
      <c r="E435" s="106">
        <f>+'Alimentazione CE Costi'!N837</f>
        <v>0</v>
      </c>
      <c r="F435" s="71"/>
      <c r="G435" s="222"/>
      <c r="H435" s="107"/>
      <c r="J435" s="103"/>
    </row>
    <row r="436" spans="1:10" ht="18.75">
      <c r="A436" s="213"/>
      <c r="B436" s="161" t="s">
        <v>1935</v>
      </c>
      <c r="C436" s="162" t="s">
        <v>1936</v>
      </c>
      <c r="D436" s="150">
        <f t="shared" ref="D436" si="176">+D437+D438</f>
        <v>3520922.2</v>
      </c>
      <c r="E436" s="150">
        <f t="shared" ref="E436" si="177">+E437+E438</f>
        <v>3025841.63</v>
      </c>
      <c r="F436" s="71" t="s">
        <v>2118</v>
      </c>
      <c r="G436" s="222"/>
      <c r="H436" s="107"/>
      <c r="J436" s="103"/>
    </row>
    <row r="437" spans="1:10" ht="18.75">
      <c r="A437" s="213"/>
      <c r="B437" s="104" t="s">
        <v>1239</v>
      </c>
      <c r="C437" s="105" t="s">
        <v>1937</v>
      </c>
      <c r="D437" s="106">
        <f>+ROUND(SUM('Alimentazione CE Costi'!K839:K846),2)</f>
        <v>14514.34</v>
      </c>
      <c r="E437" s="106">
        <f>+ROUND(SUM('Alimentazione CE Costi'!N839:N846),2)</f>
        <v>15368.34</v>
      </c>
      <c r="F437" s="71"/>
      <c r="G437" s="222"/>
      <c r="H437" s="107"/>
      <c r="J437" s="103"/>
    </row>
    <row r="438" spans="1:10" ht="18.75">
      <c r="A438" s="213"/>
      <c r="B438" s="135" t="s">
        <v>1249</v>
      </c>
      <c r="C438" s="136" t="s">
        <v>1938</v>
      </c>
      <c r="D438" s="137">
        <f t="shared" ref="D438" si="178">+D439+D442</f>
        <v>3506407.8600000003</v>
      </c>
      <c r="E438" s="137">
        <f t="shared" ref="E438" si="179">+E439+E442</f>
        <v>3010473.29</v>
      </c>
      <c r="F438" s="71" t="s">
        <v>2118</v>
      </c>
      <c r="G438" s="222"/>
      <c r="H438" s="107"/>
      <c r="J438" s="103"/>
    </row>
    <row r="439" spans="1:10" ht="18.75">
      <c r="A439" s="215"/>
      <c r="B439" s="130" t="s">
        <v>1251</v>
      </c>
      <c r="C439" s="131" t="s">
        <v>1939</v>
      </c>
      <c r="D439" s="129">
        <f t="shared" ref="D439" si="180">+D440+D441</f>
        <v>1259667.47</v>
      </c>
      <c r="E439" s="129">
        <f t="shared" ref="E439" si="181">+E440+E441</f>
        <v>1041321.5700000001</v>
      </c>
      <c r="F439" s="71" t="s">
        <v>2118</v>
      </c>
      <c r="G439" s="222"/>
      <c r="H439" s="107"/>
      <c r="J439" s="103"/>
    </row>
    <row r="440" spans="1:10" ht="25.5">
      <c r="A440" s="215"/>
      <c r="B440" s="110" t="s">
        <v>1253</v>
      </c>
      <c r="C440" s="111" t="s">
        <v>1940</v>
      </c>
      <c r="D440" s="106">
        <f>+'Alimentazione CE Costi'!K849</f>
        <v>47855.53</v>
      </c>
      <c r="E440" s="106">
        <f>+'Alimentazione CE Costi'!N849</f>
        <v>19407.14</v>
      </c>
      <c r="F440" s="356"/>
      <c r="G440" s="222"/>
      <c r="H440" s="107"/>
      <c r="J440" s="103"/>
    </row>
    <row r="441" spans="1:10" ht="25.5">
      <c r="A441" s="215"/>
      <c r="B441" s="110" t="s">
        <v>1255</v>
      </c>
      <c r="C441" s="111" t="s">
        <v>1941</v>
      </c>
      <c r="D441" s="106">
        <f>+'Alimentazione CE Costi'!K850</f>
        <v>1211811.94</v>
      </c>
      <c r="E441" s="106">
        <f>+'Alimentazione CE Costi'!N850</f>
        <v>1021914.43</v>
      </c>
      <c r="F441" s="356"/>
      <c r="G441" s="222"/>
      <c r="H441" s="107"/>
      <c r="J441" s="103"/>
    </row>
    <row r="442" spans="1:10" ht="25.5">
      <c r="A442" s="215"/>
      <c r="B442" s="104" t="s">
        <v>1257</v>
      </c>
      <c r="C442" s="105" t="s">
        <v>1942</v>
      </c>
      <c r="D442" s="106">
        <f>+ROUND(SUM('Alimentazione CE Costi'!K852:K856),2)</f>
        <v>2246740.39</v>
      </c>
      <c r="E442" s="106">
        <f>+ROUND(SUM('Alimentazione CE Costi'!N852:N856),2)</f>
        <v>1969151.72</v>
      </c>
      <c r="F442" s="356"/>
      <c r="G442" s="222"/>
      <c r="H442" s="107"/>
      <c r="J442" s="103"/>
    </row>
    <row r="443" spans="1:10" ht="18.75">
      <c r="A443" s="215"/>
      <c r="B443" s="135" t="s">
        <v>1264</v>
      </c>
      <c r="C443" s="136" t="s">
        <v>1943</v>
      </c>
      <c r="D443" s="137">
        <f t="shared" ref="D443" si="182">+D444+D445</f>
        <v>4012</v>
      </c>
      <c r="E443" s="137">
        <f t="shared" ref="E443" si="183">+E444+E445</f>
        <v>312642.65000000002</v>
      </c>
      <c r="F443" s="71" t="s">
        <v>2118</v>
      </c>
      <c r="G443" s="222"/>
      <c r="H443" s="107"/>
      <c r="J443" s="103"/>
    </row>
    <row r="444" spans="1:10" ht="25.5">
      <c r="A444" s="215"/>
      <c r="B444" s="108" t="s">
        <v>1266</v>
      </c>
      <c r="C444" s="109" t="s">
        <v>1944</v>
      </c>
      <c r="D444" s="116">
        <f>+ROUND(SUM('Alimentazione CE Costi'!K860:K874),2)</f>
        <v>0</v>
      </c>
      <c r="E444" s="116">
        <f>+ROUND(SUM('Alimentazione CE Costi'!N860:N874),2)</f>
        <v>0</v>
      </c>
      <c r="F444" s="356"/>
      <c r="G444" s="222"/>
      <c r="H444" s="107"/>
      <c r="J444" s="103"/>
    </row>
    <row r="445" spans="1:10" ht="18.75">
      <c r="A445" s="215"/>
      <c r="B445" s="108" t="s">
        <v>1284</v>
      </c>
      <c r="C445" s="109" t="s">
        <v>1945</v>
      </c>
      <c r="D445" s="106">
        <f>+ROUND(SUM('Alimentazione CE Costi'!K876:K918),2)</f>
        <v>4012</v>
      </c>
      <c r="E445" s="106">
        <f>+ROUND(SUM('Alimentazione CE Costi'!N876:N918),2)</f>
        <v>312642.65000000002</v>
      </c>
      <c r="F445" s="356"/>
      <c r="G445" s="222"/>
      <c r="H445" s="107"/>
      <c r="J445" s="103"/>
    </row>
    <row r="446" spans="1:10" ht="18.75">
      <c r="A446" s="215"/>
      <c r="B446" s="135" t="s">
        <v>1328</v>
      </c>
      <c r="C446" s="136" t="s">
        <v>1946</v>
      </c>
      <c r="D446" s="137">
        <f t="shared" ref="D446" si="184">+D447+D456</f>
        <v>227197.48</v>
      </c>
      <c r="E446" s="137">
        <f t="shared" ref="E446" si="185">+E447+E456</f>
        <v>-219695.32</v>
      </c>
      <c r="F446" s="71" t="s">
        <v>2118</v>
      </c>
      <c r="G446" s="222"/>
      <c r="H446" s="107"/>
      <c r="J446" s="103"/>
    </row>
    <row r="447" spans="1:10" ht="18.75">
      <c r="A447" s="215"/>
      <c r="B447" s="130" t="s">
        <v>1330</v>
      </c>
      <c r="C447" s="131" t="s">
        <v>1947</v>
      </c>
      <c r="D447" s="129">
        <f t="shared" ref="D447" si="186">SUM(D448:D455)</f>
        <v>247108.95</v>
      </c>
      <c r="E447" s="129">
        <f t="shared" ref="E447" si="187">SUM(E448:E455)</f>
        <v>-221457.5</v>
      </c>
      <c r="F447" s="71" t="s">
        <v>2118</v>
      </c>
      <c r="G447" s="222"/>
      <c r="H447" s="107"/>
      <c r="J447" s="103"/>
    </row>
    <row r="448" spans="1:10" ht="18.75">
      <c r="A448" s="215"/>
      <c r="B448" s="110" t="s">
        <v>1331</v>
      </c>
      <c r="C448" s="111" t="s">
        <v>1948</v>
      </c>
      <c r="D448" s="106">
        <f>+'Alimentazione CE Costi'!K921</f>
        <v>14002.09</v>
      </c>
      <c r="E448" s="106">
        <f>+'Alimentazione CE Costi'!N921</f>
        <v>5717.74</v>
      </c>
      <c r="F448" s="356"/>
      <c r="G448" s="222"/>
      <c r="H448" s="107"/>
      <c r="J448" s="103"/>
    </row>
    <row r="449" spans="1:10" ht="18.75">
      <c r="A449" s="215"/>
      <c r="B449" s="110" t="s">
        <v>1332</v>
      </c>
      <c r="C449" s="111" t="s">
        <v>1949</v>
      </c>
      <c r="D449" s="106">
        <f>+'Alimentazione CE Costi'!K922</f>
        <v>0</v>
      </c>
      <c r="E449" s="106">
        <f>+'Alimentazione CE Costi'!N922</f>
        <v>0</v>
      </c>
      <c r="F449" s="356"/>
      <c r="G449" s="222"/>
      <c r="H449" s="107"/>
      <c r="J449" s="103"/>
    </row>
    <row r="450" spans="1:10" ht="18.75">
      <c r="A450" s="215"/>
      <c r="B450" s="110" t="s">
        <v>1333</v>
      </c>
      <c r="C450" s="111" t="s">
        <v>1950</v>
      </c>
      <c r="D450" s="106">
        <f>+'Alimentazione CE Costi'!K923</f>
        <v>348173.56</v>
      </c>
      <c r="E450" s="106">
        <f>+'Alimentazione CE Costi'!N923</f>
        <v>-187340.92</v>
      </c>
      <c r="F450" s="356"/>
      <c r="G450" s="222"/>
      <c r="H450" s="107"/>
      <c r="J450" s="103"/>
    </row>
    <row r="451" spans="1:10" ht="18.75">
      <c r="A451" s="215"/>
      <c r="B451" s="110" t="s">
        <v>1334</v>
      </c>
      <c r="C451" s="111" t="s">
        <v>1951</v>
      </c>
      <c r="D451" s="106">
        <f>+'Alimentazione CE Costi'!K924</f>
        <v>-153.51</v>
      </c>
      <c r="E451" s="106">
        <f>+'Alimentazione CE Costi'!N924</f>
        <v>-784.83</v>
      </c>
      <c r="F451" s="356"/>
      <c r="G451" s="222"/>
      <c r="H451" s="107"/>
      <c r="J451" s="103"/>
    </row>
    <row r="452" spans="1:10" ht="18.75">
      <c r="A452" s="215"/>
      <c r="B452" s="110" t="s">
        <v>1335</v>
      </c>
      <c r="C452" s="111" t="s">
        <v>1952</v>
      </c>
      <c r="D452" s="106">
        <f>+'Alimentazione CE Costi'!K925</f>
        <v>0</v>
      </c>
      <c r="E452" s="106">
        <f>+'Alimentazione CE Costi'!N925</f>
        <v>0</v>
      </c>
      <c r="F452" s="356"/>
      <c r="G452" s="222"/>
      <c r="H452" s="107"/>
      <c r="J452" s="103"/>
    </row>
    <row r="453" spans="1:10" ht="18.75">
      <c r="A453" s="215"/>
      <c r="B453" s="110" t="s">
        <v>1336</v>
      </c>
      <c r="C453" s="111" t="s">
        <v>1953</v>
      </c>
      <c r="D453" s="106">
        <f>+'Alimentazione CE Costi'!K926</f>
        <v>-7310.42</v>
      </c>
      <c r="E453" s="106">
        <f>+'Alimentazione CE Costi'!N926</f>
        <v>-20348.38</v>
      </c>
      <c r="F453" s="356"/>
      <c r="G453" s="222"/>
      <c r="H453" s="107"/>
      <c r="J453" s="103"/>
    </row>
    <row r="454" spans="1:10" ht="18.75">
      <c r="A454" s="215"/>
      <c r="B454" s="110" t="s">
        <v>1337</v>
      </c>
      <c r="C454" s="111" t="s">
        <v>1954</v>
      </c>
      <c r="D454" s="106">
        <f>+'Alimentazione CE Costi'!K927</f>
        <v>0</v>
      </c>
      <c r="E454" s="106">
        <f>+'Alimentazione CE Costi'!N927</f>
        <v>0</v>
      </c>
      <c r="F454" s="356"/>
      <c r="G454" s="222"/>
      <c r="H454" s="107"/>
      <c r="J454" s="103"/>
    </row>
    <row r="455" spans="1:10" ht="18.75">
      <c r="A455" s="215"/>
      <c r="B455" s="110" t="s">
        <v>1338</v>
      </c>
      <c r="C455" s="111" t="s">
        <v>1955</v>
      </c>
      <c r="D455" s="106">
        <f>+'Alimentazione CE Costi'!K928</f>
        <v>-107602.77</v>
      </c>
      <c r="E455" s="106">
        <f>+'Alimentazione CE Costi'!N928</f>
        <v>-18701.11</v>
      </c>
      <c r="F455" s="356"/>
      <c r="G455" s="222"/>
      <c r="H455" s="107"/>
      <c r="J455" s="103"/>
    </row>
    <row r="456" spans="1:10" ht="18.75">
      <c r="A456" s="215"/>
      <c r="B456" s="130" t="s">
        <v>1340</v>
      </c>
      <c r="C456" s="131" t="s">
        <v>1956</v>
      </c>
      <c r="D456" s="129">
        <f t="shared" ref="D456" si="188">SUM(D457:D462)</f>
        <v>-19911.47</v>
      </c>
      <c r="E456" s="129">
        <f t="shared" ref="E456" si="189">SUM(E457:E462)</f>
        <v>1762.1800000000021</v>
      </c>
      <c r="F456" s="71" t="s">
        <v>2118</v>
      </c>
      <c r="G456" s="222"/>
      <c r="H456" s="107"/>
      <c r="J456" s="103"/>
    </row>
    <row r="457" spans="1:10" ht="18.75">
      <c r="A457" s="215"/>
      <c r="B457" s="110" t="s">
        <v>1341</v>
      </c>
      <c r="C457" s="111" t="s">
        <v>1957</v>
      </c>
      <c r="D457" s="106">
        <f>+'Alimentazione CE Costi'!K930</f>
        <v>-31.68</v>
      </c>
      <c r="E457" s="106">
        <f>+'Alimentazione CE Costi'!N930</f>
        <v>-40.32</v>
      </c>
      <c r="F457" s="356"/>
      <c r="G457" s="222"/>
      <c r="H457" s="107"/>
      <c r="J457" s="103"/>
    </row>
    <row r="458" spans="1:10" ht="25.5">
      <c r="A458" s="215"/>
      <c r="B458" s="110" t="s">
        <v>1342</v>
      </c>
      <c r="C458" s="111" t="s">
        <v>1958</v>
      </c>
      <c r="D458" s="106">
        <f>+'Alimentazione CE Costi'!K931</f>
        <v>-274.01</v>
      </c>
      <c r="E458" s="106">
        <f>+'Alimentazione CE Costi'!N931</f>
        <v>-518.5</v>
      </c>
      <c r="F458" s="356"/>
      <c r="G458" s="222"/>
      <c r="H458" s="107"/>
      <c r="J458" s="103"/>
    </row>
    <row r="459" spans="1:10" ht="18.75">
      <c r="A459" s="215"/>
      <c r="B459" s="110" t="s">
        <v>1343</v>
      </c>
      <c r="C459" s="111" t="s">
        <v>1959</v>
      </c>
      <c r="D459" s="106">
        <f>+'Alimentazione CE Costi'!K932</f>
        <v>0</v>
      </c>
      <c r="E459" s="106">
        <f>+'Alimentazione CE Costi'!N932</f>
        <v>0</v>
      </c>
      <c r="F459" s="356"/>
      <c r="G459" s="222"/>
      <c r="H459" s="107"/>
      <c r="J459" s="103"/>
    </row>
    <row r="460" spans="1:10" ht="18.75">
      <c r="A460" s="215"/>
      <c r="B460" s="110" t="s">
        <v>1344</v>
      </c>
      <c r="C460" s="111" t="s">
        <v>1960</v>
      </c>
      <c r="D460" s="106">
        <f>+'Alimentazione CE Costi'!K933</f>
        <v>3997.17</v>
      </c>
      <c r="E460" s="106">
        <f>+'Alimentazione CE Costi'!N933</f>
        <v>-9917.2199999999993</v>
      </c>
      <c r="F460" s="356"/>
      <c r="G460" s="222"/>
      <c r="H460" s="107"/>
      <c r="J460" s="103"/>
    </row>
    <row r="461" spans="1:10" ht="18.75">
      <c r="A461" s="215"/>
      <c r="B461" s="110" t="s">
        <v>1345</v>
      </c>
      <c r="C461" s="111" t="s">
        <v>1961</v>
      </c>
      <c r="D461" s="106">
        <f>+'Alimentazione CE Costi'!K934</f>
        <v>-1744.84</v>
      </c>
      <c r="E461" s="106">
        <f>+'Alimentazione CE Costi'!N934</f>
        <v>588.71</v>
      </c>
      <c r="F461" s="356"/>
      <c r="G461" s="222"/>
      <c r="H461" s="107"/>
      <c r="J461" s="103"/>
    </row>
    <row r="462" spans="1:10" ht="18.75">
      <c r="A462" s="215"/>
      <c r="B462" s="110" t="s">
        <v>1346</v>
      </c>
      <c r="C462" s="111" t="s">
        <v>1962</v>
      </c>
      <c r="D462" s="106">
        <f>+'Alimentazione CE Costi'!K935</f>
        <v>-21858.11</v>
      </c>
      <c r="E462" s="106">
        <f>+'Alimentazione CE Costi'!N935</f>
        <v>11649.51</v>
      </c>
      <c r="F462" s="356"/>
      <c r="G462" s="222"/>
      <c r="H462" s="107"/>
      <c r="J462" s="103"/>
    </row>
    <row r="463" spans="1:10" ht="18.75">
      <c r="A463" s="215"/>
      <c r="B463" s="135" t="s">
        <v>1348</v>
      </c>
      <c r="C463" s="136" t="s">
        <v>1963</v>
      </c>
      <c r="D463" s="137">
        <f t="shared" ref="D463" si="190">+D464+D472+D473+D480</f>
        <v>7371241.2300000004</v>
      </c>
      <c r="E463" s="137">
        <f t="shared" ref="E463" si="191">+E464+E472+E473+E480</f>
        <v>5352623.41</v>
      </c>
      <c r="F463" s="71" t="s">
        <v>2118</v>
      </c>
      <c r="G463" s="222"/>
      <c r="H463" s="107"/>
      <c r="J463" s="103"/>
    </row>
    <row r="464" spans="1:10" ht="18.75">
      <c r="A464" s="215"/>
      <c r="B464" s="130" t="s">
        <v>1350</v>
      </c>
      <c r="C464" s="131" t="s">
        <v>1964</v>
      </c>
      <c r="D464" s="129">
        <f t="shared" ref="D464" si="192">SUM(D465:D471)</f>
        <v>0</v>
      </c>
      <c r="E464" s="129">
        <f t="shared" ref="E464" si="193">SUM(E465:E471)</f>
        <v>30609.25</v>
      </c>
      <c r="F464" s="71" t="s">
        <v>2118</v>
      </c>
      <c r="G464" s="222"/>
      <c r="H464" s="107"/>
      <c r="J464" s="103"/>
    </row>
    <row r="465" spans="1:10" ht="25.5">
      <c r="A465" s="215"/>
      <c r="B465" s="110" t="s">
        <v>1352</v>
      </c>
      <c r="C465" s="111" t="s">
        <v>1965</v>
      </c>
      <c r="D465" s="106">
        <f>+'Alimentazione CE Costi'!K938</f>
        <v>0</v>
      </c>
      <c r="E465" s="106">
        <f>+'Alimentazione CE Costi'!N938</f>
        <v>5259.03</v>
      </c>
      <c r="F465" s="356"/>
      <c r="G465" s="222"/>
      <c r="H465" s="107"/>
      <c r="J465" s="103"/>
    </row>
    <row r="466" spans="1:10" ht="25.5">
      <c r="A466" s="215"/>
      <c r="B466" s="110" t="s">
        <v>1354</v>
      </c>
      <c r="C466" s="111" t="s">
        <v>1966</v>
      </c>
      <c r="D466" s="106">
        <f>+'Alimentazione CE Costi'!K939</f>
        <v>0</v>
      </c>
      <c r="E466" s="106">
        <f>+'Alimentazione CE Costi'!N939</f>
        <v>25350.22</v>
      </c>
      <c r="F466" s="356"/>
      <c r="G466" s="222"/>
      <c r="H466" s="107"/>
      <c r="J466" s="103"/>
    </row>
    <row r="467" spans="1:10" ht="25.5">
      <c r="A467" s="215"/>
      <c r="B467" s="110" t="s">
        <v>1356</v>
      </c>
      <c r="C467" s="111" t="s">
        <v>1967</v>
      </c>
      <c r="D467" s="106">
        <f>+'Alimentazione CE Costi'!K940</f>
        <v>0</v>
      </c>
      <c r="E467" s="106">
        <f>+'Alimentazione CE Costi'!N940</f>
        <v>0</v>
      </c>
      <c r="F467" s="356"/>
      <c r="G467" s="222"/>
      <c r="H467" s="107"/>
      <c r="J467" s="103"/>
    </row>
    <row r="468" spans="1:10" ht="25.5">
      <c r="A468" s="215"/>
      <c r="B468" s="110" t="s">
        <v>1358</v>
      </c>
      <c r="C468" s="111" t="s">
        <v>1968</v>
      </c>
      <c r="D468" s="106">
        <f>+'Alimentazione CE Costi'!K941</f>
        <v>0</v>
      </c>
      <c r="E468" s="106">
        <f>+'Alimentazione CE Costi'!N941</f>
        <v>0</v>
      </c>
      <c r="F468" s="356"/>
      <c r="G468" s="222"/>
      <c r="H468" s="107"/>
      <c r="J468" s="103"/>
    </row>
    <row r="469" spans="1:10" ht="18.75">
      <c r="A469" s="215"/>
      <c r="B469" s="110" t="s">
        <v>1360</v>
      </c>
      <c r="C469" s="111" t="s">
        <v>1969</v>
      </c>
      <c r="D469" s="106">
        <f>+'Alimentazione CE Costi'!K942</f>
        <v>0</v>
      </c>
      <c r="E469" s="106">
        <f>+'Alimentazione CE Costi'!N942</f>
        <v>0</v>
      </c>
      <c r="F469" s="356"/>
      <c r="G469" s="222"/>
      <c r="H469" s="107"/>
      <c r="J469" s="103"/>
    </row>
    <row r="470" spans="1:10" ht="18.75">
      <c r="A470" s="215"/>
      <c r="B470" s="110" t="s">
        <v>1362</v>
      </c>
      <c r="C470" s="111" t="s">
        <v>1970</v>
      </c>
      <c r="D470" s="106">
        <f>+'Alimentazione CE Costi'!K944+'Alimentazione CE Costi'!K945+'Alimentazione CE Costi'!K946</f>
        <v>0</v>
      </c>
      <c r="E470" s="106">
        <f>+'Alimentazione CE Costi'!N944+'Alimentazione CE Costi'!N945+'Alimentazione CE Costi'!N946</f>
        <v>0</v>
      </c>
      <c r="F470" s="356"/>
      <c r="G470" s="222"/>
      <c r="H470" s="107"/>
      <c r="J470" s="103"/>
    </row>
    <row r="471" spans="1:10" ht="18.75">
      <c r="A471" s="215"/>
      <c r="B471" s="110" t="s">
        <v>1366</v>
      </c>
      <c r="C471" s="111" t="s">
        <v>1971</v>
      </c>
      <c r="D471" s="106">
        <f>+'Alimentazione CE Costi'!K947</f>
        <v>0</v>
      </c>
      <c r="E471" s="106">
        <f>+'Alimentazione CE Costi'!N947</f>
        <v>0</v>
      </c>
      <c r="F471" s="356"/>
      <c r="G471" s="222"/>
      <c r="H471" s="107"/>
      <c r="J471" s="103"/>
    </row>
    <row r="472" spans="1:10" ht="25.5">
      <c r="A472" s="215"/>
      <c r="B472" s="108" t="s">
        <v>1368</v>
      </c>
      <c r="C472" s="109" t="s">
        <v>1972</v>
      </c>
      <c r="D472" s="106">
        <f>+'Alimentazione CE Costi'!K949+'Alimentazione CE Costi'!K950</f>
        <v>0</v>
      </c>
      <c r="E472" s="106">
        <f>+'Alimentazione CE Costi'!N949+'Alimentazione CE Costi'!N950</f>
        <v>0</v>
      </c>
      <c r="F472" s="356"/>
      <c r="G472" s="222"/>
      <c r="H472" s="107"/>
      <c r="J472" s="103"/>
    </row>
    <row r="473" spans="1:10" ht="25.5">
      <c r="A473" s="215"/>
      <c r="B473" s="130" t="s">
        <v>1372</v>
      </c>
      <c r="C473" s="131" t="s">
        <v>1973</v>
      </c>
      <c r="D473" s="129">
        <f t="shared" ref="D473" si="194">SUM(D474:D479)</f>
        <v>6448070.9100000001</v>
      </c>
      <c r="E473" s="129">
        <f t="shared" ref="E473" si="195">SUM(E474:E479)</f>
        <v>4120039.3400000003</v>
      </c>
      <c r="F473" s="71" t="s">
        <v>2118</v>
      </c>
      <c r="G473" s="222"/>
      <c r="H473" s="107"/>
      <c r="J473" s="103"/>
    </row>
    <row r="474" spans="1:10" ht="25.5">
      <c r="A474" s="215"/>
      <c r="B474" s="110" t="s">
        <v>1374</v>
      </c>
      <c r="C474" s="111" t="s">
        <v>1974</v>
      </c>
      <c r="D474" s="106">
        <f>+'Alimentazione CE Costi'!K952</f>
        <v>1828540.44</v>
      </c>
      <c r="E474" s="106">
        <f>+'Alimentazione CE Costi'!N952</f>
        <v>0</v>
      </c>
      <c r="F474" s="356"/>
      <c r="G474" s="222"/>
      <c r="H474" s="107"/>
      <c r="J474" s="103"/>
    </row>
    <row r="475" spans="1:10" ht="25.5">
      <c r="A475" s="215"/>
      <c r="B475" s="110" t="s">
        <v>1376</v>
      </c>
      <c r="C475" s="111" t="s">
        <v>1975</v>
      </c>
      <c r="D475" s="106">
        <f>+'Alimentazione CE Costi'!K953</f>
        <v>0</v>
      </c>
      <c r="E475" s="106">
        <f>+'Alimentazione CE Costi'!N953</f>
        <v>0</v>
      </c>
      <c r="F475" s="356"/>
      <c r="G475" s="222"/>
      <c r="H475" s="107"/>
      <c r="J475" s="103"/>
    </row>
    <row r="476" spans="1:10" ht="25.5">
      <c r="A476" s="215"/>
      <c r="B476" s="110" t="s">
        <v>1378</v>
      </c>
      <c r="C476" s="111" t="s">
        <v>1976</v>
      </c>
      <c r="D476" s="106">
        <f>+'Alimentazione CE Costi'!K954</f>
        <v>1345016.8</v>
      </c>
      <c r="E476" s="106">
        <f>+'Alimentazione CE Costi'!N954</f>
        <v>1236599.32</v>
      </c>
      <c r="F476" s="356"/>
      <c r="G476" s="222"/>
      <c r="H476" s="107"/>
      <c r="J476" s="103"/>
    </row>
    <row r="477" spans="1:10" ht="25.5">
      <c r="A477" s="215"/>
      <c r="B477" s="110" t="s">
        <v>1380</v>
      </c>
      <c r="C477" s="111" t="s">
        <v>1977</v>
      </c>
      <c r="D477" s="106">
        <f>+'Alimentazione CE Costi'!K955</f>
        <v>1620572.45</v>
      </c>
      <c r="E477" s="106">
        <f>+'Alimentazione CE Costi'!N955</f>
        <v>2716219.22</v>
      </c>
      <c r="F477" s="356"/>
      <c r="G477" s="222"/>
      <c r="H477" s="107"/>
      <c r="J477" s="103"/>
    </row>
    <row r="478" spans="1:10" ht="25.5">
      <c r="A478" s="215"/>
      <c r="B478" s="110" t="s">
        <v>1382</v>
      </c>
      <c r="C478" s="111" t="s">
        <v>1978</v>
      </c>
      <c r="D478" s="106">
        <f>+'Alimentazione CE Costi'!K957+'Alimentazione CE Costi'!K958</f>
        <v>267828.58999999997</v>
      </c>
      <c r="E478" s="106">
        <f>+'Alimentazione CE Costi'!N957+'Alimentazione CE Costi'!N958</f>
        <v>91163.200000000012</v>
      </c>
      <c r="F478" s="356"/>
      <c r="G478" s="222"/>
      <c r="H478" s="107"/>
      <c r="J478" s="103"/>
    </row>
    <row r="479" spans="1:10" ht="25.5">
      <c r="A479" s="215"/>
      <c r="B479" s="110" t="s">
        <v>1386</v>
      </c>
      <c r="C479" s="111" t="s">
        <v>1979</v>
      </c>
      <c r="D479" s="106">
        <f>+'Alimentazione CE Costi'!K959</f>
        <v>1386112.63</v>
      </c>
      <c r="E479" s="106">
        <f>+'Alimentazione CE Costi'!N959</f>
        <v>76057.600000000006</v>
      </c>
      <c r="F479" s="356"/>
      <c r="G479" s="222"/>
      <c r="H479" s="107"/>
      <c r="J479" s="103"/>
    </row>
    <row r="480" spans="1:10" ht="18.75">
      <c r="A480" s="215"/>
      <c r="B480" s="130" t="s">
        <v>1388</v>
      </c>
      <c r="C480" s="131" t="s">
        <v>1980</v>
      </c>
      <c r="D480" s="129">
        <f t="shared" ref="D480" si="196">SUM(D481:D490)</f>
        <v>923170.32</v>
      </c>
      <c r="E480" s="129">
        <f t="shared" ref="E480" si="197">SUM(E481:E490)</f>
        <v>1201974.82</v>
      </c>
      <c r="F480" s="71" t="s">
        <v>2118</v>
      </c>
      <c r="G480" s="222"/>
      <c r="H480" s="107"/>
      <c r="J480" s="103"/>
    </row>
    <row r="481" spans="1:10" ht="18.75">
      <c r="A481" s="215"/>
      <c r="B481" s="118" t="s">
        <v>1390</v>
      </c>
      <c r="C481" s="119" t="s">
        <v>1981</v>
      </c>
      <c r="D481" s="106">
        <f>+'Alimentazione CE Costi'!K961</f>
        <v>0</v>
      </c>
      <c r="E481" s="106">
        <f>+'Alimentazione CE Costi'!N961</f>
        <v>0</v>
      </c>
      <c r="F481" s="356"/>
      <c r="G481" s="222"/>
      <c r="H481" s="107"/>
      <c r="J481" s="103"/>
    </row>
    <row r="482" spans="1:10" ht="18.75">
      <c r="A482" s="215"/>
      <c r="B482" s="118" t="s">
        <v>1392</v>
      </c>
      <c r="C482" s="119" t="s">
        <v>1982</v>
      </c>
      <c r="D482" s="106">
        <f>+'Alimentazione CE Costi'!K962</f>
        <v>0</v>
      </c>
      <c r="E482" s="106">
        <f>+'Alimentazione CE Costi'!N962</f>
        <v>0</v>
      </c>
      <c r="F482" s="356"/>
      <c r="G482" s="222"/>
      <c r="H482" s="107"/>
      <c r="J482" s="103"/>
    </row>
    <row r="483" spans="1:10" ht="18.75">
      <c r="A483" s="215"/>
      <c r="B483" s="118" t="s">
        <v>1394</v>
      </c>
      <c r="C483" s="119" t="s">
        <v>1983</v>
      </c>
      <c r="D483" s="106">
        <f>+'Alimentazione CE Costi'!K963</f>
        <v>348007</v>
      </c>
      <c r="E483" s="106">
        <f>+'Alimentazione CE Costi'!N963</f>
        <v>947993.97</v>
      </c>
      <c r="F483" s="356"/>
      <c r="G483" s="222"/>
      <c r="H483" s="107"/>
      <c r="J483" s="103"/>
    </row>
    <row r="484" spans="1:10" ht="18.75">
      <c r="A484" s="215"/>
      <c r="B484" s="110" t="s">
        <v>1396</v>
      </c>
      <c r="C484" s="111" t="s">
        <v>1984</v>
      </c>
      <c r="D484" s="106">
        <f>+'Alimentazione CE Costi'!K964</f>
        <v>22853</v>
      </c>
      <c r="E484" s="106">
        <f>+'Alimentazione CE Costi'!N964</f>
        <v>72777.84</v>
      </c>
      <c r="F484" s="356"/>
      <c r="G484" s="222"/>
      <c r="H484" s="107"/>
      <c r="J484" s="103"/>
    </row>
    <row r="485" spans="1:10" ht="18.75">
      <c r="A485" s="215"/>
      <c r="B485" s="110" t="s">
        <v>1398</v>
      </c>
      <c r="C485" s="111" t="s">
        <v>1985</v>
      </c>
      <c r="D485" s="106">
        <f>+'Alimentazione CE Costi'!K965</f>
        <v>498071</v>
      </c>
      <c r="E485" s="106">
        <f>+'Alimentazione CE Costi'!N965</f>
        <v>0</v>
      </c>
      <c r="F485" s="356"/>
      <c r="G485" s="222"/>
      <c r="H485" s="107"/>
      <c r="J485" s="103"/>
    </row>
    <row r="486" spans="1:10" ht="18.75">
      <c r="A486" s="215"/>
      <c r="B486" s="110" t="s">
        <v>1400</v>
      </c>
      <c r="C486" s="111" t="s">
        <v>1986</v>
      </c>
      <c r="D486" s="106">
        <f>+'Alimentazione CE Costi'!K966</f>
        <v>0</v>
      </c>
      <c r="E486" s="106">
        <f>+'Alimentazione CE Costi'!N966</f>
        <v>0</v>
      </c>
      <c r="F486" s="356"/>
      <c r="G486" s="222"/>
      <c r="H486" s="107"/>
      <c r="J486" s="103"/>
    </row>
    <row r="487" spans="1:10" ht="18.75">
      <c r="A487" s="215"/>
      <c r="B487" s="110" t="s">
        <v>1402</v>
      </c>
      <c r="C487" s="111" t="s">
        <v>1987</v>
      </c>
      <c r="D487" s="106">
        <f>+'Alimentazione CE Costi'!K967</f>
        <v>0</v>
      </c>
      <c r="E487" s="106">
        <f>+'Alimentazione CE Costi'!N967</f>
        <v>54270.7</v>
      </c>
      <c r="F487" s="356"/>
      <c r="G487" s="222"/>
      <c r="H487" s="107"/>
      <c r="J487" s="103"/>
    </row>
    <row r="488" spans="1:10" ht="18.75">
      <c r="A488" s="215"/>
      <c r="B488" s="110" t="s">
        <v>1404</v>
      </c>
      <c r="C488" s="111" t="s">
        <v>1988</v>
      </c>
      <c r="D488" s="106">
        <f>+'Alimentazione CE Costi'!K968</f>
        <v>0</v>
      </c>
      <c r="E488" s="106">
        <f>+'Alimentazione CE Costi'!N968</f>
        <v>0</v>
      </c>
      <c r="F488" s="356"/>
      <c r="G488" s="222"/>
      <c r="H488" s="107"/>
      <c r="J488" s="103"/>
    </row>
    <row r="489" spans="1:10" ht="25.5">
      <c r="A489" s="215"/>
      <c r="B489" s="110" t="s">
        <v>1406</v>
      </c>
      <c r="C489" s="111" t="s">
        <v>1989</v>
      </c>
      <c r="D489" s="106">
        <f>+'Alimentazione CE Costi'!K969</f>
        <v>54239.32</v>
      </c>
      <c r="E489" s="106">
        <f>+'Alimentazione CE Costi'!N969</f>
        <v>126932.30999999998</v>
      </c>
      <c r="F489" s="356"/>
      <c r="G489" s="222"/>
      <c r="H489" s="107"/>
      <c r="J489" s="103"/>
    </row>
    <row r="490" spans="1:10" ht="18.75">
      <c r="A490" s="215"/>
      <c r="B490" s="118" t="s">
        <v>1407</v>
      </c>
      <c r="C490" s="120" t="s">
        <v>1990</v>
      </c>
      <c r="D490" s="106">
        <f>+'Alimentazione CE Costi'!K970</f>
        <v>0</v>
      </c>
      <c r="E490" s="106">
        <f>+'Alimentazione CE Costi'!N970</f>
        <v>0</v>
      </c>
      <c r="F490" s="356"/>
      <c r="G490" s="222"/>
      <c r="H490" s="107"/>
      <c r="J490" s="103"/>
    </row>
    <row r="491" spans="1:10" ht="18.75">
      <c r="A491" s="213"/>
      <c r="B491" s="138" t="s">
        <v>1991</v>
      </c>
      <c r="C491" s="139" t="s">
        <v>1992</v>
      </c>
      <c r="D491" s="140">
        <f>+D463+D446+D436+D428+D386+D376+D368+D199+D160+D443</f>
        <v>95002370.189999998</v>
      </c>
      <c r="E491" s="140">
        <f>+E463+E446+E436+E428+E386+E376+E368+E199+E160+E443</f>
        <v>89099637.400000021</v>
      </c>
      <c r="F491" s="71"/>
      <c r="G491" s="222"/>
      <c r="H491" s="107"/>
      <c r="J491" s="103"/>
    </row>
    <row r="492" spans="1:10" ht="18.75">
      <c r="A492" s="213"/>
      <c r="B492" s="151"/>
      <c r="C492" s="152" t="s">
        <v>1993</v>
      </c>
      <c r="D492" s="153"/>
      <c r="E492" s="153"/>
      <c r="F492" s="71"/>
      <c r="G492" s="222"/>
      <c r="H492" s="107"/>
      <c r="J492" s="103"/>
    </row>
    <row r="493" spans="1:10" ht="18.75">
      <c r="A493" s="213"/>
      <c r="B493" s="135" t="s">
        <v>459</v>
      </c>
      <c r="C493" s="136" t="s">
        <v>1994</v>
      </c>
      <c r="D493" s="137">
        <f t="shared" ref="D493" si="198">+D494+D495+D496</f>
        <v>214.60000000000002</v>
      </c>
      <c r="E493" s="137">
        <f t="shared" ref="E493" si="199">+E494+E495+E496</f>
        <v>761.38</v>
      </c>
      <c r="F493" s="71" t="s">
        <v>2118</v>
      </c>
      <c r="G493" s="222"/>
      <c r="H493" s="107"/>
      <c r="J493" s="103"/>
    </row>
    <row r="494" spans="1:10" ht="18.75">
      <c r="A494" s="213"/>
      <c r="B494" s="108" t="s">
        <v>461</v>
      </c>
      <c r="C494" s="109" t="s">
        <v>1995</v>
      </c>
      <c r="D494" s="106">
        <f>+'Alimentazione CE Ricavi'!K230</f>
        <v>0</v>
      </c>
      <c r="E494" s="106">
        <f>+'Alimentazione CE Ricavi'!N230</f>
        <v>0.08</v>
      </c>
      <c r="F494" s="71"/>
      <c r="G494" s="222"/>
      <c r="H494" s="107"/>
      <c r="J494" s="103"/>
    </row>
    <row r="495" spans="1:10" ht="18.75">
      <c r="A495" s="213"/>
      <c r="B495" s="108" t="s">
        <v>463</v>
      </c>
      <c r="C495" s="109" t="s">
        <v>1996</v>
      </c>
      <c r="D495" s="106">
        <f>+'Alimentazione CE Ricavi'!K232+'Alimentazione CE Ricavi'!K233</f>
        <v>108.09</v>
      </c>
      <c r="E495" s="106">
        <f>+'Alimentazione CE Ricavi'!N232+'Alimentazione CE Ricavi'!N233</f>
        <v>499.12</v>
      </c>
      <c r="F495" s="71"/>
      <c r="G495" s="222"/>
      <c r="H495" s="107"/>
      <c r="J495" s="103"/>
    </row>
    <row r="496" spans="1:10" ht="18.75">
      <c r="A496" s="213"/>
      <c r="B496" s="108" t="s">
        <v>467</v>
      </c>
      <c r="C496" s="109" t="s">
        <v>1997</v>
      </c>
      <c r="D496" s="106">
        <f>+'Alimentazione CE Ricavi'!K235+'Alimentazione CE Ricavi'!K236+'Alimentazione CE Ricavi'!K237</f>
        <v>106.51</v>
      </c>
      <c r="E496" s="106">
        <f>+'Alimentazione CE Ricavi'!N235+'Alimentazione CE Ricavi'!N236+'Alimentazione CE Ricavi'!N237</f>
        <v>262.18</v>
      </c>
      <c r="F496" s="71"/>
      <c r="G496" s="222"/>
      <c r="H496" s="107"/>
      <c r="J496" s="103"/>
    </row>
    <row r="497" spans="1:10" ht="18.75">
      <c r="A497" s="213"/>
      <c r="B497" s="135" t="s">
        <v>471</v>
      </c>
      <c r="C497" s="136" t="s">
        <v>1998</v>
      </c>
      <c r="D497" s="137">
        <f t="shared" ref="D497" si="200">SUM(D498:D502)</f>
        <v>0</v>
      </c>
      <c r="E497" s="137">
        <f t="shared" ref="E497" si="201">SUM(E498:E502)</f>
        <v>0</v>
      </c>
      <c r="F497" s="71" t="s">
        <v>2118</v>
      </c>
      <c r="G497" s="222"/>
      <c r="H497" s="107"/>
      <c r="J497" s="103"/>
    </row>
    <row r="498" spans="1:10" ht="18.75">
      <c r="A498" s="213"/>
      <c r="B498" s="108" t="s">
        <v>473</v>
      </c>
      <c r="C498" s="109" t="s">
        <v>1999</v>
      </c>
      <c r="D498" s="106">
        <f>+'Alimentazione CE Ricavi'!K239</f>
        <v>0</v>
      </c>
      <c r="E498" s="106">
        <f>+'Alimentazione CE Ricavi'!N239</f>
        <v>0</v>
      </c>
      <c r="F498" s="71"/>
      <c r="G498" s="222"/>
      <c r="H498" s="107"/>
      <c r="J498" s="103"/>
    </row>
    <row r="499" spans="1:10" ht="25.5">
      <c r="A499" s="213"/>
      <c r="B499" s="108" t="s">
        <v>475</v>
      </c>
      <c r="C499" s="109" t="s">
        <v>2000</v>
      </c>
      <c r="D499" s="106">
        <f>+'Alimentazione CE Ricavi'!K240</f>
        <v>0</v>
      </c>
      <c r="E499" s="106">
        <f>+'Alimentazione CE Ricavi'!N240</f>
        <v>0</v>
      </c>
      <c r="F499" s="71"/>
      <c r="G499" s="222"/>
      <c r="H499" s="107"/>
      <c r="J499" s="103"/>
    </row>
    <row r="500" spans="1:10" ht="25.5">
      <c r="A500" s="213"/>
      <c r="B500" s="108" t="s">
        <v>477</v>
      </c>
      <c r="C500" s="109" t="s">
        <v>2001</v>
      </c>
      <c r="D500" s="106">
        <f>+'Alimentazione CE Ricavi'!K241</f>
        <v>0</v>
      </c>
      <c r="E500" s="106">
        <f>+'Alimentazione CE Ricavi'!N241</f>
        <v>0</v>
      </c>
      <c r="F500" s="71"/>
      <c r="G500" s="222"/>
      <c r="H500" s="107"/>
      <c r="J500" s="103"/>
    </row>
    <row r="501" spans="1:10" ht="18.75">
      <c r="A501" s="213"/>
      <c r="B501" s="108" t="s">
        <v>479</v>
      </c>
      <c r="C501" s="109" t="s">
        <v>2002</v>
      </c>
      <c r="D501" s="106">
        <f>+'Alimentazione CE Ricavi'!K242</f>
        <v>0</v>
      </c>
      <c r="E501" s="106">
        <f>+'Alimentazione CE Ricavi'!N242</f>
        <v>0</v>
      </c>
      <c r="F501" s="71"/>
      <c r="G501" s="222"/>
      <c r="H501" s="107"/>
      <c r="J501" s="103"/>
    </row>
    <row r="502" spans="1:10" ht="18.75">
      <c r="A502" s="213"/>
      <c r="B502" s="108" t="s">
        <v>481</v>
      </c>
      <c r="C502" s="109" t="s">
        <v>2003</v>
      </c>
      <c r="D502" s="106">
        <f>+'Alimentazione CE Ricavi'!K243</f>
        <v>0</v>
      </c>
      <c r="E502" s="106">
        <f>+'Alimentazione CE Ricavi'!N243</f>
        <v>0</v>
      </c>
      <c r="F502" s="71"/>
      <c r="G502" s="222"/>
      <c r="H502" s="107"/>
      <c r="J502" s="103"/>
    </row>
    <row r="503" spans="1:10" ht="18.75">
      <c r="A503" s="213"/>
      <c r="B503" s="135" t="s">
        <v>1409</v>
      </c>
      <c r="C503" s="136" t="s">
        <v>2004</v>
      </c>
      <c r="D503" s="137">
        <f t="shared" ref="D503" si="202">SUM(D504:D506)</f>
        <v>7.18</v>
      </c>
      <c r="E503" s="137">
        <f t="shared" ref="E503" si="203">SUM(E504:E506)</f>
        <v>0</v>
      </c>
      <c r="F503" s="71" t="s">
        <v>2118</v>
      </c>
      <c r="G503" s="222"/>
      <c r="H503" s="107"/>
      <c r="J503" s="103"/>
    </row>
    <row r="504" spans="1:10" ht="18.75">
      <c r="A504" s="213"/>
      <c r="B504" s="108" t="s">
        <v>1411</v>
      </c>
      <c r="C504" s="109" t="s">
        <v>2005</v>
      </c>
      <c r="D504" s="106">
        <f>+'Alimentazione CE Costi'!K972</f>
        <v>0</v>
      </c>
      <c r="E504" s="106">
        <f>+'Alimentazione CE Costi'!N972</f>
        <v>0</v>
      </c>
      <c r="F504" s="71"/>
      <c r="G504" s="222"/>
      <c r="H504" s="107"/>
      <c r="J504" s="103"/>
    </row>
    <row r="505" spans="1:10" ht="18.75">
      <c r="A505" s="213"/>
      <c r="B505" s="108" t="s">
        <v>1413</v>
      </c>
      <c r="C505" s="109" t="s">
        <v>2006</v>
      </c>
      <c r="D505" s="106">
        <f>+'Alimentazione CE Costi'!K973</f>
        <v>0</v>
      </c>
      <c r="E505" s="106">
        <f>+'Alimentazione CE Costi'!N973</f>
        <v>0</v>
      </c>
      <c r="F505" s="71"/>
      <c r="G505" s="222"/>
      <c r="H505" s="107"/>
      <c r="J505" s="103"/>
    </row>
    <row r="506" spans="1:10" ht="18.75">
      <c r="A506" s="213"/>
      <c r="B506" s="108" t="s">
        <v>1415</v>
      </c>
      <c r="C506" s="109" t="s">
        <v>2007</v>
      </c>
      <c r="D506" s="106">
        <f>+'Alimentazione CE Costi'!K975+'Alimentazione CE Costi'!K976</f>
        <v>7.18</v>
      </c>
      <c r="E506" s="106">
        <f>+'Alimentazione CE Costi'!N975+'Alimentazione CE Costi'!N976</f>
        <v>0</v>
      </c>
      <c r="F506" s="71"/>
      <c r="G506" s="222"/>
      <c r="H506" s="107"/>
      <c r="J506" s="103"/>
    </row>
    <row r="507" spans="1:10" ht="18.75">
      <c r="A507" s="213"/>
      <c r="B507" s="135" t="s">
        <v>2008</v>
      </c>
      <c r="C507" s="136" t="s">
        <v>2009</v>
      </c>
      <c r="D507" s="137">
        <f t="shared" ref="D507" si="204">SUM(D508:D509)</f>
        <v>0</v>
      </c>
      <c r="E507" s="137">
        <f t="shared" ref="E507" si="205">SUM(E508:E509)</f>
        <v>0</v>
      </c>
      <c r="F507" s="71" t="s">
        <v>2118</v>
      </c>
      <c r="G507" s="222"/>
      <c r="H507" s="107"/>
      <c r="J507" s="103"/>
    </row>
    <row r="508" spans="1:10" ht="18.75">
      <c r="A508" s="213"/>
      <c r="B508" s="108" t="s">
        <v>1418</v>
      </c>
      <c r="C508" s="109" t="s">
        <v>2010</v>
      </c>
      <c r="D508" s="106">
        <f>+'Alimentazione CE Costi'!K978</f>
        <v>0</v>
      </c>
      <c r="E508" s="106">
        <f>+'Alimentazione CE Costi'!N978</f>
        <v>0</v>
      </c>
      <c r="F508" s="71"/>
      <c r="G508" s="222"/>
      <c r="H508" s="107"/>
      <c r="J508" s="103"/>
    </row>
    <row r="509" spans="1:10" ht="18.75">
      <c r="A509" s="213"/>
      <c r="B509" s="108" t="s">
        <v>1420</v>
      </c>
      <c r="C509" s="109" t="s">
        <v>2011</v>
      </c>
      <c r="D509" s="106">
        <f>+'Alimentazione CE Costi'!K979</f>
        <v>0</v>
      </c>
      <c r="E509" s="106">
        <f>+'Alimentazione CE Costi'!N979</f>
        <v>0</v>
      </c>
      <c r="F509" s="71"/>
      <c r="G509" s="222"/>
      <c r="H509" s="107"/>
      <c r="J509" s="103"/>
    </row>
    <row r="510" spans="1:10" ht="18.75">
      <c r="A510" s="213"/>
      <c r="B510" s="138" t="s">
        <v>2012</v>
      </c>
      <c r="C510" s="139" t="s">
        <v>2013</v>
      </c>
      <c r="D510" s="140">
        <f t="shared" ref="D510" si="206">+D493+D497-D503-D507</f>
        <v>207.42000000000002</v>
      </c>
      <c r="E510" s="140">
        <f t="shared" ref="E510" si="207">+E493+E497-E503-E507</f>
        <v>761.38</v>
      </c>
      <c r="F510" s="71" t="s">
        <v>2118</v>
      </c>
      <c r="G510" s="222"/>
      <c r="H510" s="107"/>
      <c r="J510" s="103"/>
    </row>
    <row r="511" spans="1:10" ht="18.75">
      <c r="A511" s="213"/>
      <c r="B511" s="151"/>
      <c r="C511" s="152" t="s">
        <v>2014</v>
      </c>
      <c r="D511" s="153"/>
      <c r="E511" s="153"/>
      <c r="F511" s="71"/>
      <c r="G511" s="222"/>
      <c r="H511" s="107"/>
      <c r="J511" s="103"/>
    </row>
    <row r="512" spans="1:10" ht="18.75">
      <c r="A512" s="213"/>
      <c r="B512" s="104" t="s">
        <v>483</v>
      </c>
      <c r="C512" s="105" t="s">
        <v>2015</v>
      </c>
      <c r="D512" s="106">
        <f>+'Alimentazione CE Ricavi'!K244</f>
        <v>0</v>
      </c>
      <c r="E512" s="106">
        <f>+'Alimentazione CE Ricavi'!N244</f>
        <v>0</v>
      </c>
      <c r="F512" s="71"/>
      <c r="G512" s="222"/>
      <c r="H512" s="107"/>
      <c r="J512" s="103"/>
    </row>
    <row r="513" spans="1:10" ht="18.75">
      <c r="A513" s="213"/>
      <c r="B513" s="104" t="s">
        <v>1422</v>
      </c>
      <c r="C513" s="105" t="s">
        <v>2016</v>
      </c>
      <c r="D513" s="106">
        <f>+'Alimentazione CE Costi'!K980</f>
        <v>0</v>
      </c>
      <c r="E513" s="106">
        <f>+'Alimentazione CE Costi'!N980</f>
        <v>0</v>
      </c>
      <c r="F513" s="71"/>
      <c r="G513" s="222"/>
      <c r="H513" s="107"/>
      <c r="J513" s="103"/>
    </row>
    <row r="514" spans="1:10" ht="18.75">
      <c r="A514" s="213"/>
      <c r="B514" s="138" t="s">
        <v>2017</v>
      </c>
      <c r="C514" s="139" t="s">
        <v>2018</v>
      </c>
      <c r="D514" s="140">
        <f t="shared" ref="D514" si="208">+D512-D513</f>
        <v>0</v>
      </c>
      <c r="E514" s="140">
        <f t="shared" ref="E514" si="209">+E512-E513</f>
        <v>0</v>
      </c>
      <c r="F514" s="71" t="s">
        <v>2118</v>
      </c>
      <c r="G514" s="222"/>
      <c r="H514" s="107"/>
      <c r="J514" s="103"/>
    </row>
    <row r="515" spans="1:10" ht="18.75">
      <c r="A515" s="213"/>
      <c r="B515" s="151"/>
      <c r="C515" s="152" t="s">
        <v>2019</v>
      </c>
      <c r="D515" s="153"/>
      <c r="E515" s="153"/>
      <c r="F515" s="71"/>
      <c r="G515" s="222"/>
      <c r="H515" s="107"/>
      <c r="J515" s="103"/>
    </row>
    <row r="516" spans="1:10" ht="18.75">
      <c r="A516" s="213"/>
      <c r="B516" s="135" t="s">
        <v>484</v>
      </c>
      <c r="C516" s="136" t="s">
        <v>2020</v>
      </c>
      <c r="D516" s="137">
        <f t="shared" ref="D516" si="210">+D517+D518</f>
        <v>1708282.59</v>
      </c>
      <c r="E516" s="137">
        <f t="shared" ref="E516" si="211">+E517+E518</f>
        <v>642915.13</v>
      </c>
      <c r="F516" s="71" t="s">
        <v>2118</v>
      </c>
      <c r="G516" s="222"/>
      <c r="H516" s="107"/>
      <c r="J516" s="103"/>
    </row>
    <row r="517" spans="1:10" ht="18.75">
      <c r="A517" s="213"/>
      <c r="B517" s="108" t="s">
        <v>486</v>
      </c>
      <c r="C517" s="109" t="s">
        <v>2021</v>
      </c>
      <c r="D517" s="106">
        <f>+'Alimentazione CE Ricavi'!K246</f>
        <v>0</v>
      </c>
      <c r="E517" s="106">
        <f>+'Alimentazione CE Ricavi'!N246</f>
        <v>0</v>
      </c>
      <c r="F517" s="71"/>
      <c r="G517" s="222"/>
      <c r="H517" s="107"/>
      <c r="J517" s="103"/>
    </row>
    <row r="518" spans="1:10" ht="18.75">
      <c r="A518" s="213"/>
      <c r="B518" s="130" t="s">
        <v>488</v>
      </c>
      <c r="C518" s="131" t="s">
        <v>2022</v>
      </c>
      <c r="D518" s="129">
        <f t="shared" ref="D518" si="212">+D519+D520+D531+D541</f>
        <v>1708282.59</v>
      </c>
      <c r="E518" s="129">
        <f t="shared" ref="E518" si="213">+E519+E520+E531+E541</f>
        <v>642915.13</v>
      </c>
      <c r="F518" s="71" t="s">
        <v>2118</v>
      </c>
      <c r="G518" s="222"/>
      <c r="H518" s="107"/>
      <c r="J518" s="103"/>
    </row>
    <row r="519" spans="1:10" ht="18.75">
      <c r="A519" s="213"/>
      <c r="B519" s="110" t="s">
        <v>490</v>
      </c>
      <c r="C519" s="111" t="s">
        <v>2023</v>
      </c>
      <c r="D519" s="106">
        <f>+'Alimentazione CE Ricavi'!K248</f>
        <v>39257.15</v>
      </c>
      <c r="E519" s="106">
        <f>+'Alimentazione CE Ricavi'!N248</f>
        <v>18228.810000000001</v>
      </c>
      <c r="F519" s="71"/>
      <c r="G519" s="222"/>
      <c r="H519" s="107"/>
      <c r="J519" s="103"/>
    </row>
    <row r="520" spans="1:10" ht="18.75">
      <c r="A520" s="213"/>
      <c r="B520" s="141" t="s">
        <v>492</v>
      </c>
      <c r="C520" s="142" t="s">
        <v>2024</v>
      </c>
      <c r="D520" s="143">
        <f t="shared" ref="D520" si="214">+D521+D522+D523</f>
        <v>469473.89</v>
      </c>
      <c r="E520" s="143">
        <f t="shared" ref="E520" si="215">+E521+E522+E523</f>
        <v>117132.68</v>
      </c>
      <c r="F520" s="71" t="s">
        <v>2118</v>
      </c>
      <c r="G520" s="222"/>
      <c r="H520" s="107"/>
      <c r="J520" s="103"/>
    </row>
    <row r="521" spans="1:10" ht="18.75">
      <c r="A521" s="215"/>
      <c r="B521" s="110" t="s">
        <v>494</v>
      </c>
      <c r="C521" s="111" t="s">
        <v>2025</v>
      </c>
      <c r="D521" s="106">
        <f>+'Alimentazione CE Ricavi'!K250</f>
        <v>0</v>
      </c>
      <c r="E521" s="106">
        <f>+'Alimentazione CE Ricavi'!N250</f>
        <v>0</v>
      </c>
      <c r="F521" s="356"/>
      <c r="G521" s="222"/>
      <c r="H521" s="107"/>
      <c r="J521" s="103"/>
    </row>
    <row r="522" spans="1:10" ht="25.5">
      <c r="A522" s="215" t="s">
        <v>1530</v>
      </c>
      <c r="B522" s="110" t="s">
        <v>496</v>
      </c>
      <c r="C522" s="111" t="s">
        <v>2026</v>
      </c>
      <c r="D522" s="106">
        <f>+'Alimentazione CE Ricavi'!K251</f>
        <v>327818.71999999997</v>
      </c>
      <c r="E522" s="106">
        <f>+'Alimentazione CE Ricavi'!N251</f>
        <v>0</v>
      </c>
      <c r="F522" s="356"/>
      <c r="G522" s="222"/>
      <c r="H522" s="107"/>
      <c r="J522" s="103"/>
    </row>
    <row r="523" spans="1:10" ht="18.75">
      <c r="A523" s="215"/>
      <c r="B523" s="147" t="s">
        <v>498</v>
      </c>
      <c r="C523" s="148" t="s">
        <v>2027</v>
      </c>
      <c r="D523" s="146">
        <f t="shared" ref="D523" si="216">SUM(D524:D530)</f>
        <v>141655.17000000001</v>
      </c>
      <c r="E523" s="146">
        <f t="shared" ref="E523" si="217">SUM(E524:E530)</f>
        <v>117132.68</v>
      </c>
      <c r="F523" s="71" t="s">
        <v>2118</v>
      </c>
      <c r="G523" s="222"/>
      <c r="H523" s="107"/>
      <c r="J523" s="103"/>
    </row>
    <row r="524" spans="1:10" ht="25.5">
      <c r="A524" s="215" t="s">
        <v>1575</v>
      </c>
      <c r="B524" s="112" t="s">
        <v>500</v>
      </c>
      <c r="C524" s="113" t="s">
        <v>2028</v>
      </c>
      <c r="D524" s="106">
        <f>+'Alimentazione CE Ricavi'!K253</f>
        <v>0</v>
      </c>
      <c r="E524" s="106">
        <f>+'Alimentazione CE Ricavi'!N253</f>
        <v>0</v>
      </c>
      <c r="F524" s="356"/>
      <c r="G524" s="222"/>
      <c r="H524" s="107"/>
      <c r="J524" s="103"/>
    </row>
    <row r="525" spans="1:10" ht="25.5">
      <c r="A525" s="215"/>
      <c r="B525" s="112" t="s">
        <v>502</v>
      </c>
      <c r="C525" s="113" t="s">
        <v>2029</v>
      </c>
      <c r="D525" s="106">
        <f>+'Alimentazione CE Ricavi'!K254</f>
        <v>681.22</v>
      </c>
      <c r="E525" s="106">
        <f>+'Alimentazione CE Ricavi'!N254</f>
        <v>4635.9799999999996</v>
      </c>
      <c r="F525" s="356"/>
      <c r="G525" s="222"/>
      <c r="H525" s="107"/>
      <c r="J525" s="103"/>
    </row>
    <row r="526" spans="1:10" ht="25.5">
      <c r="A526" s="215"/>
      <c r="B526" s="112" t="s">
        <v>504</v>
      </c>
      <c r="C526" s="113" t="s">
        <v>2030</v>
      </c>
      <c r="D526" s="106">
        <f>+'Alimentazione CE Ricavi'!K255</f>
        <v>0</v>
      </c>
      <c r="E526" s="106">
        <f>+'Alimentazione CE Ricavi'!N255</f>
        <v>0</v>
      </c>
      <c r="F526" s="356"/>
      <c r="G526" s="222"/>
      <c r="H526" s="107"/>
      <c r="J526" s="103"/>
    </row>
    <row r="527" spans="1:10" ht="25.5">
      <c r="A527" s="215"/>
      <c r="B527" s="112" t="s">
        <v>506</v>
      </c>
      <c r="C527" s="113" t="s">
        <v>2031</v>
      </c>
      <c r="D527" s="106">
        <f>+'Alimentazione CE Ricavi'!K256</f>
        <v>0</v>
      </c>
      <c r="E527" s="106">
        <f>+'Alimentazione CE Ricavi'!N256</f>
        <v>0</v>
      </c>
      <c r="F527" s="356"/>
      <c r="G527" s="222"/>
      <c r="H527" s="107"/>
      <c r="J527" s="103"/>
    </row>
    <row r="528" spans="1:10" ht="25.5">
      <c r="A528" s="215"/>
      <c r="B528" s="112" t="s">
        <v>508</v>
      </c>
      <c r="C528" s="113" t="s">
        <v>2032</v>
      </c>
      <c r="D528" s="106">
        <f>+'Alimentazione CE Ricavi'!K257</f>
        <v>0</v>
      </c>
      <c r="E528" s="106">
        <f>+'Alimentazione CE Ricavi'!N257</f>
        <v>0</v>
      </c>
      <c r="F528" s="356"/>
      <c r="G528" s="222"/>
      <c r="H528" s="107"/>
      <c r="J528" s="103"/>
    </row>
    <row r="529" spans="1:10" ht="25.5">
      <c r="A529" s="215"/>
      <c r="B529" s="112" t="s">
        <v>510</v>
      </c>
      <c r="C529" s="113" t="s">
        <v>2033</v>
      </c>
      <c r="D529" s="106">
        <f>+'Alimentazione CE Ricavi'!K258</f>
        <v>42978.6</v>
      </c>
      <c r="E529" s="106">
        <f>+'Alimentazione CE Ricavi'!N258</f>
        <v>862.89</v>
      </c>
      <c r="F529" s="356"/>
      <c r="G529" s="222"/>
      <c r="H529" s="107"/>
      <c r="J529" s="103"/>
    </row>
    <row r="530" spans="1:10" ht="18.75">
      <c r="A530" s="215"/>
      <c r="B530" s="112" t="s">
        <v>512</v>
      </c>
      <c r="C530" s="113" t="s">
        <v>2034</v>
      </c>
      <c r="D530" s="106">
        <f>+'Alimentazione CE Ricavi'!K259</f>
        <v>97995.35</v>
      </c>
      <c r="E530" s="106">
        <f>+'Alimentazione CE Ricavi'!N259</f>
        <v>111633.81</v>
      </c>
      <c r="F530" s="356"/>
      <c r="G530" s="222"/>
      <c r="H530" s="107"/>
      <c r="J530" s="103"/>
    </row>
    <row r="531" spans="1:10" ht="18.75">
      <c r="A531" s="215"/>
      <c r="B531" s="141" t="s">
        <v>2035</v>
      </c>
      <c r="C531" s="142" t="s">
        <v>2036</v>
      </c>
      <c r="D531" s="143">
        <f t="shared" ref="D531" si="218">+D532+D533</f>
        <v>1199353.74</v>
      </c>
      <c r="E531" s="143">
        <f t="shared" ref="E531" si="219">+E532+E533</f>
        <v>507532.97000000003</v>
      </c>
      <c r="F531" s="71" t="s">
        <v>2118</v>
      </c>
      <c r="G531" s="222"/>
      <c r="H531" s="107"/>
      <c r="J531" s="103"/>
    </row>
    <row r="532" spans="1:10" ht="25.5">
      <c r="A532" s="213" t="s">
        <v>1530</v>
      </c>
      <c r="B532" s="110" t="s">
        <v>515</v>
      </c>
      <c r="C532" s="111" t="s">
        <v>2037</v>
      </c>
      <c r="D532" s="106">
        <f>+'Alimentazione CE Ricavi'!K261</f>
        <v>294680.05</v>
      </c>
      <c r="E532" s="106">
        <f>+'Alimentazione CE Ricavi'!N261</f>
        <v>130.63999999999999</v>
      </c>
      <c r="F532" s="71"/>
      <c r="G532" s="222"/>
      <c r="H532" s="107"/>
      <c r="J532" s="103"/>
    </row>
    <row r="533" spans="1:10" ht="18.75">
      <c r="A533" s="213"/>
      <c r="B533" s="147" t="s">
        <v>2038</v>
      </c>
      <c r="C533" s="148" t="s">
        <v>2039</v>
      </c>
      <c r="D533" s="146">
        <f t="shared" ref="D533" si="220">SUM(D534:D540)</f>
        <v>904673.69000000006</v>
      </c>
      <c r="E533" s="146">
        <f t="shared" ref="E533" si="221">SUM(E534:E540)</f>
        <v>507402.33</v>
      </c>
      <c r="F533" s="71" t="s">
        <v>2118</v>
      </c>
      <c r="G533" s="222"/>
      <c r="H533" s="107"/>
      <c r="J533" s="103"/>
    </row>
    <row r="534" spans="1:10" ht="25.5">
      <c r="A534" s="213" t="s">
        <v>1575</v>
      </c>
      <c r="B534" s="112" t="s">
        <v>518</v>
      </c>
      <c r="C534" s="113" t="s">
        <v>2040</v>
      </c>
      <c r="D534" s="106">
        <f>+'Alimentazione CE Ricavi'!K263</f>
        <v>0</v>
      </c>
      <c r="E534" s="106">
        <f>+'Alimentazione CE Ricavi'!N263</f>
        <v>407107.62</v>
      </c>
      <c r="F534" s="71"/>
      <c r="G534" s="222"/>
      <c r="H534" s="107"/>
      <c r="J534" s="103"/>
    </row>
    <row r="535" spans="1:10" ht="18.75">
      <c r="A535" s="213"/>
      <c r="B535" s="112" t="s">
        <v>520</v>
      </c>
      <c r="C535" s="113" t="s">
        <v>2041</v>
      </c>
      <c r="D535" s="106">
        <f>+'Alimentazione CE Ricavi'!K264</f>
        <v>349.74</v>
      </c>
      <c r="E535" s="106">
        <f>+'Alimentazione CE Ricavi'!N264</f>
        <v>35878.17</v>
      </c>
      <c r="F535" s="71"/>
      <c r="G535" s="222"/>
      <c r="H535" s="107"/>
      <c r="J535" s="103"/>
    </row>
    <row r="536" spans="1:10" ht="25.5">
      <c r="A536" s="213"/>
      <c r="B536" s="112" t="s">
        <v>522</v>
      </c>
      <c r="C536" s="113" t="s">
        <v>2042</v>
      </c>
      <c r="D536" s="106">
        <f>+'Alimentazione CE Ricavi'!K265</f>
        <v>0</v>
      </c>
      <c r="E536" s="106">
        <f>+'Alimentazione CE Ricavi'!N265</f>
        <v>0</v>
      </c>
      <c r="F536" s="71"/>
      <c r="G536" s="222"/>
      <c r="H536" s="107"/>
      <c r="J536" s="103"/>
    </row>
    <row r="537" spans="1:10" ht="25.5">
      <c r="A537" s="213"/>
      <c r="B537" s="112" t="s">
        <v>524</v>
      </c>
      <c r="C537" s="113" t="s">
        <v>2043</v>
      </c>
      <c r="D537" s="106">
        <f>+'Alimentazione CE Ricavi'!K266</f>
        <v>0</v>
      </c>
      <c r="E537" s="106">
        <f>+'Alimentazione CE Ricavi'!N266</f>
        <v>0</v>
      </c>
      <c r="F537" s="71"/>
      <c r="G537" s="222"/>
      <c r="H537" s="107"/>
      <c r="J537" s="103"/>
    </row>
    <row r="538" spans="1:10" ht="25.5">
      <c r="A538" s="213"/>
      <c r="B538" s="112" t="s">
        <v>526</v>
      </c>
      <c r="C538" s="113" t="s">
        <v>2044</v>
      </c>
      <c r="D538" s="106">
        <f>+'Alimentazione CE Ricavi'!K267</f>
        <v>0</v>
      </c>
      <c r="E538" s="106">
        <f>+'Alimentazione CE Ricavi'!N267</f>
        <v>0</v>
      </c>
      <c r="F538" s="71"/>
      <c r="G538" s="222"/>
      <c r="H538" s="107"/>
      <c r="J538" s="103"/>
    </row>
    <row r="539" spans="1:10" ht="25.5">
      <c r="A539" s="213"/>
      <c r="B539" s="112" t="s">
        <v>528</v>
      </c>
      <c r="C539" s="113" t="s">
        <v>2045</v>
      </c>
      <c r="D539" s="106">
        <f>+'Alimentazione CE Ricavi'!K268</f>
        <v>1221.8</v>
      </c>
      <c r="E539" s="106">
        <f>+'Alimentazione CE Ricavi'!N268</f>
        <v>5526.09</v>
      </c>
      <c r="F539" s="71"/>
      <c r="G539" s="222"/>
      <c r="H539" s="107"/>
      <c r="J539" s="103"/>
    </row>
    <row r="540" spans="1:10" ht="18.75">
      <c r="A540" s="213"/>
      <c r="B540" s="112" t="s">
        <v>530</v>
      </c>
      <c r="C540" s="113" t="s">
        <v>2046</v>
      </c>
      <c r="D540" s="106">
        <f>+'Alimentazione CE Ricavi'!K269</f>
        <v>903102.15</v>
      </c>
      <c r="E540" s="106">
        <f>+'Alimentazione CE Ricavi'!N269</f>
        <v>58890.45</v>
      </c>
      <c r="F540" s="71"/>
      <c r="G540" s="222"/>
      <c r="H540" s="107"/>
      <c r="J540" s="103"/>
    </row>
    <row r="541" spans="1:10" ht="18.75">
      <c r="A541" s="213"/>
      <c r="B541" s="110" t="s">
        <v>531</v>
      </c>
      <c r="C541" s="111" t="s">
        <v>2047</v>
      </c>
      <c r="D541" s="106">
        <f>+'Alimentazione CE Ricavi'!K270</f>
        <v>197.81</v>
      </c>
      <c r="E541" s="106">
        <f>+'Alimentazione CE Ricavi'!N270</f>
        <v>20.67</v>
      </c>
      <c r="F541" s="71"/>
      <c r="G541" s="222"/>
      <c r="H541" s="107"/>
      <c r="J541" s="103"/>
    </row>
    <row r="542" spans="1:10" ht="18.75">
      <c r="A542" s="213"/>
      <c r="B542" s="135" t="s">
        <v>1423</v>
      </c>
      <c r="C542" s="136" t="s">
        <v>2048</v>
      </c>
      <c r="D542" s="137">
        <f t="shared" ref="D542" si="222">+D543+D544</f>
        <v>982516.85000000009</v>
      </c>
      <c r="E542" s="137">
        <f t="shared" ref="E542" si="223">+E543+E544</f>
        <v>3928444.63</v>
      </c>
      <c r="F542" s="71"/>
      <c r="G542" s="222"/>
      <c r="H542" s="107"/>
      <c r="J542" s="103"/>
    </row>
    <row r="543" spans="1:10" ht="18.75">
      <c r="A543" s="213"/>
      <c r="B543" s="108" t="s">
        <v>1425</v>
      </c>
      <c r="C543" s="109" t="s">
        <v>2049</v>
      </c>
      <c r="D543" s="106">
        <f>+'Alimentazione CE Costi'!K982</f>
        <v>2359.48</v>
      </c>
      <c r="E543" s="106">
        <f>+'Alimentazione CE Costi'!N982</f>
        <v>3390.8</v>
      </c>
      <c r="F543" s="71"/>
      <c r="G543" s="222"/>
      <c r="H543" s="107"/>
      <c r="J543" s="103"/>
    </row>
    <row r="544" spans="1:10" ht="18.75">
      <c r="A544" s="213"/>
      <c r="B544" s="130" t="s">
        <v>1427</v>
      </c>
      <c r="C544" s="131" t="s">
        <v>2050</v>
      </c>
      <c r="D544" s="129">
        <f t="shared" ref="D544" si="224">+D545+D546+D547+D562+D573</f>
        <v>980157.37000000011</v>
      </c>
      <c r="E544" s="129">
        <f t="shared" ref="E544" si="225">+E545+E546+E547+E562+E573</f>
        <v>3925053.83</v>
      </c>
      <c r="F544" s="71"/>
      <c r="G544" s="222"/>
      <c r="H544" s="107"/>
      <c r="J544" s="103"/>
    </row>
    <row r="545" spans="1:10" ht="18.75">
      <c r="A545" s="213"/>
      <c r="B545" s="110" t="s">
        <v>1429</v>
      </c>
      <c r="C545" s="111" t="s">
        <v>2051</v>
      </c>
      <c r="D545" s="106">
        <f>+'Alimentazione CE Costi'!K984</f>
        <v>0</v>
      </c>
      <c r="E545" s="106">
        <f>+'Alimentazione CE Costi'!N984</f>
        <v>0</v>
      </c>
      <c r="F545" s="71"/>
      <c r="G545" s="222"/>
      <c r="H545" s="107"/>
      <c r="J545" s="103"/>
    </row>
    <row r="546" spans="1:10" ht="18.75">
      <c r="A546" s="213"/>
      <c r="B546" s="110" t="s">
        <v>1431</v>
      </c>
      <c r="C546" s="111" t="s">
        <v>2052</v>
      </c>
      <c r="D546" s="106">
        <f>+'Alimentazione CE Costi'!K985</f>
        <v>0</v>
      </c>
      <c r="E546" s="106">
        <f>+'Alimentazione CE Costi'!N985</f>
        <v>0</v>
      </c>
      <c r="F546" s="71"/>
      <c r="G546" s="222"/>
      <c r="H546" s="107"/>
      <c r="J546" s="103"/>
    </row>
    <row r="547" spans="1:10" ht="18.75">
      <c r="A547" s="213"/>
      <c r="B547" s="141" t="s">
        <v>1433</v>
      </c>
      <c r="C547" s="142" t="s">
        <v>2053</v>
      </c>
      <c r="D547" s="143">
        <f t="shared" ref="D547" si="226">+D548+D551</f>
        <v>722063.76</v>
      </c>
      <c r="E547" s="143">
        <f t="shared" ref="E547" si="227">+E548+E551</f>
        <v>1987720.07</v>
      </c>
      <c r="F547" s="71"/>
      <c r="G547" s="222"/>
      <c r="H547" s="107"/>
      <c r="J547" s="103"/>
    </row>
    <row r="548" spans="1:10" ht="25.5">
      <c r="A548" s="213" t="s">
        <v>1530</v>
      </c>
      <c r="B548" s="147" t="s">
        <v>1435</v>
      </c>
      <c r="C548" s="148" t="s">
        <v>2054</v>
      </c>
      <c r="D548" s="146">
        <f t="shared" ref="D548" si="228">+D549+D550</f>
        <v>40638.69</v>
      </c>
      <c r="E548" s="146">
        <f t="shared" ref="E548" si="229">+E549+E550</f>
        <v>1795337.27</v>
      </c>
      <c r="F548" s="71"/>
      <c r="G548" s="222"/>
      <c r="H548" s="107"/>
      <c r="J548" s="103"/>
    </row>
    <row r="549" spans="1:10" ht="25.5">
      <c r="A549" s="213" t="s">
        <v>1530</v>
      </c>
      <c r="B549" s="112" t="s">
        <v>1437</v>
      </c>
      <c r="C549" s="113" t="s">
        <v>2055</v>
      </c>
      <c r="D549" s="106">
        <f>+'Alimentazione CE Costi'!K988</f>
        <v>0</v>
      </c>
      <c r="E549" s="106">
        <f>+'Alimentazione CE Costi'!N988</f>
        <v>0</v>
      </c>
      <c r="F549" s="71"/>
      <c r="G549" s="222"/>
      <c r="H549" s="107"/>
      <c r="J549" s="103"/>
    </row>
    <row r="550" spans="1:10" ht="25.5">
      <c r="A550" s="213" t="s">
        <v>1530</v>
      </c>
      <c r="B550" s="112" t="s">
        <v>1439</v>
      </c>
      <c r="C550" s="113" t="s">
        <v>2056</v>
      </c>
      <c r="D550" s="106">
        <f>+'Alimentazione CE Costi'!K989</f>
        <v>40638.69</v>
      </c>
      <c r="E550" s="106">
        <f>+'Alimentazione CE Costi'!N989</f>
        <v>1795337.27</v>
      </c>
      <c r="F550" s="71"/>
      <c r="G550" s="222"/>
      <c r="H550" s="107"/>
      <c r="J550" s="103"/>
    </row>
    <row r="551" spans="1:10" ht="18.75">
      <c r="A551" s="213"/>
      <c r="B551" s="147" t="s">
        <v>1441</v>
      </c>
      <c r="C551" s="148" t="s">
        <v>2057</v>
      </c>
      <c r="D551" s="146">
        <f t="shared" ref="D551" si="230">+D552+D553+D557+D558+D559+D560+D561</f>
        <v>681425.07000000007</v>
      </c>
      <c r="E551" s="146">
        <f t="shared" ref="E551" si="231">+E552+E553+E557+E558+E559+E560+E561</f>
        <v>192382.8</v>
      </c>
      <c r="F551" s="71"/>
      <c r="G551" s="222"/>
      <c r="H551" s="107"/>
      <c r="J551" s="103"/>
    </row>
    <row r="552" spans="1:10" ht="25.5">
      <c r="A552" s="213" t="s">
        <v>1575</v>
      </c>
      <c r="B552" s="112" t="s">
        <v>1443</v>
      </c>
      <c r="C552" s="113" t="s">
        <v>2058</v>
      </c>
      <c r="D552" s="106">
        <f>+'Alimentazione CE Costi'!K991</f>
        <v>0</v>
      </c>
      <c r="E552" s="106">
        <f>+'Alimentazione CE Costi'!N991</f>
        <v>0</v>
      </c>
      <c r="F552" s="71"/>
      <c r="G552" s="222"/>
      <c r="H552" s="107"/>
      <c r="J552" s="103"/>
    </row>
    <row r="553" spans="1:10" ht="25.5">
      <c r="A553" s="213"/>
      <c r="B553" s="163" t="s">
        <v>1445</v>
      </c>
      <c r="C553" s="164" t="s">
        <v>2059</v>
      </c>
      <c r="D553" s="165">
        <f t="shared" ref="D553" si="232">+D554+D555+D556</f>
        <v>603973.4</v>
      </c>
      <c r="E553" s="165">
        <f t="shared" ref="E553" si="233">+E554+E555+E556</f>
        <v>109349.26999999999</v>
      </c>
      <c r="F553" s="71"/>
      <c r="G553" s="222"/>
      <c r="H553" s="107"/>
      <c r="J553" s="103"/>
    </row>
    <row r="554" spans="1:10" ht="25.5">
      <c r="A554" s="213"/>
      <c r="B554" s="110" t="s">
        <v>1447</v>
      </c>
      <c r="C554" s="111" t="s">
        <v>2060</v>
      </c>
      <c r="D554" s="106">
        <f>+'Alimentazione CE Costi'!K993</f>
        <v>224830.35</v>
      </c>
      <c r="E554" s="106">
        <f>+'Alimentazione CE Costi'!N993</f>
        <v>33101.15</v>
      </c>
      <c r="F554" s="71"/>
      <c r="G554" s="222"/>
      <c r="H554" s="107"/>
      <c r="J554" s="103"/>
    </row>
    <row r="555" spans="1:10" ht="25.5">
      <c r="A555" s="213"/>
      <c r="B555" s="110" t="s">
        <v>1449</v>
      </c>
      <c r="C555" s="111" t="s">
        <v>2061</v>
      </c>
      <c r="D555" s="106">
        <f>+'Alimentazione CE Costi'!K994</f>
        <v>0</v>
      </c>
      <c r="E555" s="106">
        <f>+'Alimentazione CE Costi'!N994</f>
        <v>0</v>
      </c>
      <c r="F555" s="71"/>
      <c r="G555" s="222"/>
      <c r="H555" s="107"/>
      <c r="J555" s="103"/>
    </row>
    <row r="556" spans="1:10" ht="25.5">
      <c r="A556" s="213"/>
      <c r="B556" s="110" t="s">
        <v>1451</v>
      </c>
      <c r="C556" s="111" t="s">
        <v>2062</v>
      </c>
      <c r="D556" s="106">
        <f>+'Alimentazione CE Costi'!K995</f>
        <v>379143.05</v>
      </c>
      <c r="E556" s="106">
        <f>+'Alimentazione CE Costi'!N995</f>
        <v>76248.12</v>
      </c>
      <c r="F556" s="71"/>
      <c r="G556" s="222"/>
      <c r="H556" s="107"/>
      <c r="J556" s="103"/>
    </row>
    <row r="557" spans="1:10" ht="25.5">
      <c r="A557" s="213"/>
      <c r="B557" s="112" t="s">
        <v>1453</v>
      </c>
      <c r="C557" s="113" t="s">
        <v>2063</v>
      </c>
      <c r="D557" s="106">
        <f>+'Alimentazione CE Costi'!K996</f>
        <v>0</v>
      </c>
      <c r="E557" s="106">
        <f>+'Alimentazione CE Costi'!N996</f>
        <v>0</v>
      </c>
      <c r="F557" s="71"/>
      <c r="G557" s="222"/>
      <c r="H557" s="107"/>
      <c r="J557" s="103"/>
    </row>
    <row r="558" spans="1:10" ht="25.5">
      <c r="A558" s="213"/>
      <c r="B558" s="112" t="s">
        <v>1455</v>
      </c>
      <c r="C558" s="113" t="s">
        <v>2064</v>
      </c>
      <c r="D558" s="106">
        <f>+'Alimentazione CE Costi'!K997</f>
        <v>0</v>
      </c>
      <c r="E558" s="106">
        <f>+'Alimentazione CE Costi'!N997</f>
        <v>0</v>
      </c>
      <c r="F558" s="71"/>
      <c r="G558" s="222"/>
      <c r="H558" s="107"/>
      <c r="J558" s="103"/>
    </row>
    <row r="559" spans="1:10" ht="25.5">
      <c r="A559" s="213"/>
      <c r="B559" s="112" t="s">
        <v>1457</v>
      </c>
      <c r="C559" s="113" t="s">
        <v>2065</v>
      </c>
      <c r="D559" s="106">
        <f>+'Alimentazione CE Costi'!K998</f>
        <v>0</v>
      </c>
      <c r="E559" s="106">
        <f>+'Alimentazione CE Costi'!N998</f>
        <v>0</v>
      </c>
      <c r="F559" s="71"/>
      <c r="G559" s="222"/>
      <c r="H559" s="107"/>
      <c r="J559" s="103"/>
    </row>
    <row r="560" spans="1:10" ht="25.5">
      <c r="A560" s="213"/>
      <c r="B560" s="112" t="s">
        <v>1459</v>
      </c>
      <c r="C560" s="113" t="s">
        <v>2066</v>
      </c>
      <c r="D560" s="106">
        <f>+'Alimentazione CE Costi'!K999</f>
        <v>63258.65</v>
      </c>
      <c r="E560" s="106">
        <f>+'Alimentazione CE Costi'!N999</f>
        <v>65725.48</v>
      </c>
      <c r="F560" s="71"/>
      <c r="G560" s="222"/>
      <c r="H560" s="107"/>
      <c r="J560" s="103"/>
    </row>
    <row r="561" spans="1:10" ht="18.75">
      <c r="A561" s="213"/>
      <c r="B561" s="112" t="s">
        <v>1461</v>
      </c>
      <c r="C561" s="113" t="s">
        <v>2067</v>
      </c>
      <c r="D561" s="106">
        <f>+'Alimentazione CE Costi'!K1000</f>
        <v>14193.02</v>
      </c>
      <c r="E561" s="106">
        <f>+'Alimentazione CE Costi'!N1000</f>
        <v>17308.05</v>
      </c>
      <c r="F561" s="71"/>
      <c r="G561" s="222"/>
      <c r="H561" s="107"/>
      <c r="J561" s="103"/>
    </row>
    <row r="562" spans="1:10" ht="18.75">
      <c r="A562" s="213"/>
      <c r="B562" s="141" t="s">
        <v>1463</v>
      </c>
      <c r="C562" s="142" t="s">
        <v>2068</v>
      </c>
      <c r="D562" s="143">
        <f t="shared" ref="D562" si="234">+D563+D564+D565</f>
        <v>257947.43000000002</v>
      </c>
      <c r="E562" s="143">
        <f t="shared" ref="E562" si="235">+E563+E564+E565</f>
        <v>1936054.05</v>
      </c>
      <c r="F562" s="71"/>
      <c r="G562" s="222"/>
      <c r="H562" s="107"/>
      <c r="J562" s="103"/>
    </row>
    <row r="563" spans="1:10" ht="18.75">
      <c r="A563" s="215"/>
      <c r="B563" s="110" t="s">
        <v>1465</v>
      </c>
      <c r="C563" s="111" t="s">
        <v>2069</v>
      </c>
      <c r="D563" s="106">
        <f>+'Alimentazione CE Costi'!K1002</f>
        <v>0</v>
      </c>
      <c r="E563" s="106">
        <f>+'Alimentazione CE Costi'!N1002</f>
        <v>0</v>
      </c>
      <c r="F563" s="356"/>
      <c r="G563" s="222"/>
      <c r="H563" s="107"/>
      <c r="J563" s="103"/>
    </row>
    <row r="564" spans="1:10" ht="25.5">
      <c r="A564" s="215" t="s">
        <v>1530</v>
      </c>
      <c r="B564" s="110" t="s">
        <v>1467</v>
      </c>
      <c r="C564" s="111" t="s">
        <v>2070</v>
      </c>
      <c r="D564" s="106">
        <f>+'Alimentazione CE Costi'!K1003</f>
        <v>92893.57</v>
      </c>
      <c r="E564" s="106">
        <f>+'Alimentazione CE Costi'!N1003</f>
        <v>0</v>
      </c>
      <c r="F564" s="356"/>
      <c r="G564" s="222"/>
      <c r="H564" s="107"/>
      <c r="J564" s="103"/>
    </row>
    <row r="565" spans="1:10" ht="18.75">
      <c r="A565" s="215"/>
      <c r="B565" s="147" t="s">
        <v>1469</v>
      </c>
      <c r="C565" s="148" t="s">
        <v>2071</v>
      </c>
      <c r="D565" s="146">
        <f t="shared" ref="D565" si="236">SUM(D566:D572)</f>
        <v>165053.86000000002</v>
      </c>
      <c r="E565" s="146">
        <f t="shared" ref="E565" si="237">SUM(E566:E572)</f>
        <v>1936054.05</v>
      </c>
      <c r="F565" s="71"/>
      <c r="G565" s="222"/>
      <c r="H565" s="107"/>
      <c r="J565" s="103"/>
    </row>
    <row r="566" spans="1:10" ht="25.5">
      <c r="A566" s="215" t="s">
        <v>1575</v>
      </c>
      <c r="B566" s="112" t="s">
        <v>1471</v>
      </c>
      <c r="C566" s="113" t="s">
        <v>2072</v>
      </c>
      <c r="D566" s="106">
        <f>+'Alimentazione CE Costi'!K1005</f>
        <v>0</v>
      </c>
      <c r="E566" s="106">
        <f>+'Alimentazione CE Costi'!N1005</f>
        <v>0</v>
      </c>
      <c r="F566" s="356"/>
      <c r="G566" s="222"/>
      <c r="H566" s="107"/>
      <c r="J566" s="103"/>
    </row>
    <row r="567" spans="1:10" ht="25.5">
      <c r="A567" s="215"/>
      <c r="B567" s="112" t="s">
        <v>1473</v>
      </c>
      <c r="C567" s="113" t="s">
        <v>2073</v>
      </c>
      <c r="D567" s="106">
        <f>+'Alimentazione CE Costi'!K1006</f>
        <v>0</v>
      </c>
      <c r="E567" s="106">
        <f>+'Alimentazione CE Costi'!N1006</f>
        <v>1676.8</v>
      </c>
      <c r="F567" s="356"/>
      <c r="G567" s="222"/>
      <c r="H567" s="107"/>
      <c r="J567" s="103"/>
    </row>
    <row r="568" spans="1:10" ht="25.5">
      <c r="A568" s="215"/>
      <c r="B568" s="112" t="s">
        <v>1475</v>
      </c>
      <c r="C568" s="113" t="s">
        <v>2074</v>
      </c>
      <c r="D568" s="106">
        <f>+'Alimentazione CE Costi'!K1007</f>
        <v>0</v>
      </c>
      <c r="E568" s="106">
        <f>+'Alimentazione CE Costi'!N1007</f>
        <v>0</v>
      </c>
      <c r="F568" s="356"/>
      <c r="G568" s="222"/>
      <c r="H568" s="107"/>
      <c r="J568" s="103"/>
    </row>
    <row r="569" spans="1:10" ht="25.5">
      <c r="A569" s="215"/>
      <c r="B569" s="112" t="s">
        <v>1477</v>
      </c>
      <c r="C569" s="113" t="s">
        <v>2075</v>
      </c>
      <c r="D569" s="106">
        <f>+'Alimentazione CE Costi'!K1008</f>
        <v>0</v>
      </c>
      <c r="E569" s="106">
        <f>+'Alimentazione CE Costi'!N1008</f>
        <v>0</v>
      </c>
      <c r="F569" s="356"/>
      <c r="G569" s="222"/>
      <c r="H569" s="107"/>
      <c r="J569" s="103"/>
    </row>
    <row r="570" spans="1:10" ht="25.5">
      <c r="A570" s="215"/>
      <c r="B570" s="112" t="s">
        <v>1479</v>
      </c>
      <c r="C570" s="113" t="s">
        <v>2076</v>
      </c>
      <c r="D570" s="106">
        <f>+'Alimentazione CE Costi'!K1009</f>
        <v>0</v>
      </c>
      <c r="E570" s="106">
        <f>+'Alimentazione CE Costi'!N1009</f>
        <v>0</v>
      </c>
      <c r="F570" s="356"/>
      <c r="G570" s="222"/>
      <c r="H570" s="107"/>
      <c r="J570" s="103"/>
    </row>
    <row r="571" spans="1:10" ht="25.5">
      <c r="A571" s="215"/>
      <c r="B571" s="112" t="s">
        <v>1481</v>
      </c>
      <c r="C571" s="113" t="s">
        <v>2077</v>
      </c>
      <c r="D571" s="106">
        <f>+'Alimentazione CE Costi'!K1010</f>
        <v>211.23</v>
      </c>
      <c r="E571" s="106">
        <f>+'Alimentazione CE Costi'!N1010</f>
        <v>0</v>
      </c>
      <c r="F571" s="356"/>
      <c r="G571" s="222"/>
      <c r="H571" s="107"/>
      <c r="J571" s="103"/>
    </row>
    <row r="572" spans="1:10" ht="18.75">
      <c r="A572" s="215"/>
      <c r="B572" s="112" t="s">
        <v>1483</v>
      </c>
      <c r="C572" s="113" t="s">
        <v>2078</v>
      </c>
      <c r="D572" s="106">
        <f>+'Alimentazione CE Costi'!K1011</f>
        <v>164842.63</v>
      </c>
      <c r="E572" s="106">
        <f>+'Alimentazione CE Costi'!N1011</f>
        <v>1934377.25</v>
      </c>
      <c r="F572" s="356"/>
      <c r="G572" s="222"/>
      <c r="H572" s="107"/>
      <c r="J572" s="103"/>
    </row>
    <row r="573" spans="1:10" ht="18.75">
      <c r="A573" s="213"/>
      <c r="B573" s="110" t="s">
        <v>1484</v>
      </c>
      <c r="C573" s="111" t="s">
        <v>2079</v>
      </c>
      <c r="D573" s="106">
        <f>+'Alimentazione CE Costi'!K1012</f>
        <v>146.18</v>
      </c>
      <c r="E573" s="106">
        <f>+'Alimentazione CE Costi'!N1012</f>
        <v>1279.71</v>
      </c>
      <c r="F573" s="71"/>
      <c r="G573" s="222"/>
      <c r="H573" s="121"/>
      <c r="J573" s="103"/>
    </row>
    <row r="574" spans="1:10" ht="18.75">
      <c r="A574" s="213"/>
      <c r="B574" s="138" t="s">
        <v>2080</v>
      </c>
      <c r="C574" s="139" t="s">
        <v>2081</v>
      </c>
      <c r="D574" s="140">
        <f t="shared" ref="D574" si="238">+D516-D542</f>
        <v>725765.74</v>
      </c>
      <c r="E574" s="140">
        <f t="shared" ref="E574" si="239">+E516-E542</f>
        <v>-3285529.5</v>
      </c>
      <c r="F574" s="71"/>
      <c r="G574" s="222"/>
      <c r="H574" s="121"/>
      <c r="J574" s="103"/>
    </row>
    <row r="575" spans="1:10" ht="25.5">
      <c r="A575" s="213"/>
      <c r="B575" s="104" t="s">
        <v>2082</v>
      </c>
      <c r="C575" s="105" t="s">
        <v>2083</v>
      </c>
      <c r="D575" s="106">
        <f>+D158-D491+D510+D514+D574</f>
        <v>3382212.52999999</v>
      </c>
      <c r="E575" s="106">
        <f>+E158-E491+E510+E514+E574</f>
        <v>3237192.6299999701</v>
      </c>
      <c r="F575" s="71"/>
      <c r="G575" s="222"/>
      <c r="H575" s="121"/>
      <c r="J575" s="103"/>
    </row>
    <row r="576" spans="1:10" ht="18.75">
      <c r="A576" s="215"/>
      <c r="B576" s="151"/>
      <c r="C576" s="152" t="s">
        <v>2084</v>
      </c>
      <c r="D576" s="153"/>
      <c r="E576" s="153"/>
      <c r="F576" s="356"/>
      <c r="G576" s="222"/>
      <c r="H576" s="122"/>
      <c r="J576" s="103"/>
    </row>
    <row r="577" spans="1:24" ht="18.75">
      <c r="A577" s="213"/>
      <c r="B577" s="135" t="s">
        <v>1485</v>
      </c>
      <c r="C577" s="136" t="s">
        <v>2085</v>
      </c>
      <c r="D577" s="137">
        <f t="shared" ref="D577" si="240">+D578+D579+D580+D581</f>
        <v>3337087.81</v>
      </c>
      <c r="E577" s="137">
        <f t="shared" ref="E577" si="241">+E578+E579+E580+E581</f>
        <v>3071670.13</v>
      </c>
      <c r="F577" s="71"/>
      <c r="G577" s="222"/>
      <c r="H577" s="123"/>
      <c r="J577" s="103"/>
    </row>
    <row r="578" spans="1:24" ht="18.75">
      <c r="A578" s="213"/>
      <c r="B578" s="108" t="s">
        <v>1487</v>
      </c>
      <c r="C578" s="109" t="s">
        <v>2086</v>
      </c>
      <c r="D578" s="106">
        <f>+'Alimentazione CE Costi'!K1014</f>
        <v>3087720.78</v>
      </c>
      <c r="E578" s="106">
        <f>+'Alimentazione CE Costi'!N1014</f>
        <v>2853937.69</v>
      </c>
      <c r="F578" s="71"/>
      <c r="G578" s="222"/>
      <c r="H578" s="122"/>
      <c r="J578" s="103"/>
    </row>
    <row r="579" spans="1:24" ht="25.5">
      <c r="A579" s="213"/>
      <c r="B579" s="108" t="s">
        <v>1489</v>
      </c>
      <c r="C579" s="109" t="s">
        <v>2087</v>
      </c>
      <c r="D579" s="106">
        <f>+'Alimentazione CE Costi'!K1015</f>
        <v>175770.37</v>
      </c>
      <c r="E579" s="106">
        <f>+'Alimentazione CE Costi'!N1015</f>
        <v>147542.73000000001</v>
      </c>
      <c r="F579" s="71"/>
      <c r="G579" s="222"/>
      <c r="H579" s="121"/>
      <c r="J579" s="103"/>
    </row>
    <row r="580" spans="1:24" ht="25.5">
      <c r="A580" s="213"/>
      <c r="B580" s="108" t="s">
        <v>1491</v>
      </c>
      <c r="C580" s="109" t="s">
        <v>2088</v>
      </c>
      <c r="D580" s="106">
        <f>+'Alimentazione CE Costi'!K1016</f>
        <v>73596.66</v>
      </c>
      <c r="E580" s="106">
        <f>+'Alimentazione CE Costi'!N1016</f>
        <v>70189.710000000006</v>
      </c>
      <c r="F580" s="71"/>
      <c r="G580" s="222"/>
      <c r="H580" s="122"/>
      <c r="J580" s="103"/>
    </row>
    <row r="581" spans="1:24" ht="18.75">
      <c r="A581" s="213"/>
      <c r="B581" s="108" t="s">
        <v>1493</v>
      </c>
      <c r="C581" s="109" t="s">
        <v>2089</v>
      </c>
      <c r="D581" s="106">
        <f>+'Alimentazione CE Costi'!K1017</f>
        <v>0</v>
      </c>
      <c r="E581" s="106">
        <f>+'Alimentazione CE Costi'!N1017</f>
        <v>0</v>
      </c>
      <c r="F581" s="71"/>
      <c r="G581" s="222"/>
      <c r="H581" s="122"/>
      <c r="J581" s="103"/>
    </row>
    <row r="582" spans="1:24" ht="18.75">
      <c r="A582" s="213"/>
      <c r="B582" s="135" t="s">
        <v>1494</v>
      </c>
      <c r="C582" s="136" t="s">
        <v>2090</v>
      </c>
      <c r="D582" s="137">
        <f t="shared" ref="D582" si="242">+D583+D584</f>
        <v>29525</v>
      </c>
      <c r="E582" s="137">
        <f t="shared" ref="E582" si="243">+E583+E584</f>
        <v>18407</v>
      </c>
      <c r="F582" s="71"/>
      <c r="G582" s="222"/>
      <c r="H582" s="122"/>
      <c r="J582" s="103"/>
    </row>
    <row r="583" spans="1:24" ht="18.75">
      <c r="A583" s="213"/>
      <c r="B583" s="108" t="s">
        <v>1496</v>
      </c>
      <c r="C583" s="109" t="s">
        <v>2091</v>
      </c>
      <c r="D583" s="106">
        <f>+'Alimentazione CE Costi'!K1019</f>
        <v>29525</v>
      </c>
      <c r="E583" s="106">
        <f>+'Alimentazione CE Costi'!N1019</f>
        <v>18407</v>
      </c>
      <c r="F583" s="71"/>
      <c r="G583" s="222"/>
      <c r="H583" s="123"/>
      <c r="J583" s="103"/>
    </row>
    <row r="584" spans="1:24" ht="18.75">
      <c r="A584" s="213"/>
      <c r="B584" s="108" t="s">
        <v>1498</v>
      </c>
      <c r="C584" s="109" t="s">
        <v>2092</v>
      </c>
      <c r="D584" s="106">
        <f>+'Alimentazione CE Costi'!K1020</f>
        <v>0</v>
      </c>
      <c r="E584" s="106">
        <f>+'Alimentazione CE Costi'!N1020</f>
        <v>0</v>
      </c>
      <c r="F584" s="71"/>
      <c r="G584" s="222"/>
      <c r="H584" s="122"/>
      <c r="J584" s="103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</row>
    <row r="585" spans="1:24" ht="25.5">
      <c r="A585" s="215"/>
      <c r="B585" s="104" t="s">
        <v>1500</v>
      </c>
      <c r="C585" s="105" t="s">
        <v>2093</v>
      </c>
      <c r="D585" s="106">
        <f>+'Alimentazione CE Costi'!K1021</f>
        <v>0</v>
      </c>
      <c r="E585" s="106">
        <f>+'Alimentazione CE Costi'!N1021</f>
        <v>0</v>
      </c>
      <c r="F585" s="356"/>
      <c r="G585" s="222"/>
      <c r="H585" s="124"/>
      <c r="J585" s="103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</row>
    <row r="586" spans="1:24" ht="18.75">
      <c r="A586" s="215"/>
      <c r="B586" s="138" t="s">
        <v>2094</v>
      </c>
      <c r="C586" s="139" t="s">
        <v>2095</v>
      </c>
      <c r="D586" s="140">
        <f t="shared" ref="D586" si="244">+D577+D582+D585</f>
        <v>3366612.81</v>
      </c>
      <c r="E586" s="140">
        <f t="shared" ref="E586" si="245">+E577+E582+E585</f>
        <v>3090077.13</v>
      </c>
      <c r="F586" s="71"/>
      <c r="G586" s="222"/>
      <c r="H586" s="125"/>
      <c r="J586" s="103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</row>
    <row r="587" spans="1:24" ht="19.5" thickBot="1">
      <c r="A587" s="220"/>
      <c r="B587" s="166" t="s">
        <v>2096</v>
      </c>
      <c r="C587" s="167" t="s">
        <v>2097</v>
      </c>
      <c r="D587" s="168">
        <f t="shared" ref="D587" si="246">+D575-D586</f>
        <v>15599.71999998996</v>
      </c>
      <c r="E587" s="168">
        <f t="shared" ref="E587" si="247">+E575-E586</f>
        <v>147115.4999999702</v>
      </c>
      <c r="F587" s="71"/>
      <c r="G587" s="222"/>
      <c r="H587" s="125"/>
      <c r="J587" s="103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</row>
    <row r="588" spans="1:24">
      <c r="A588" s="127"/>
      <c r="B588" s="126"/>
      <c r="C588" s="127"/>
      <c r="D588" s="127"/>
      <c r="E588" s="127"/>
      <c r="F588" s="127"/>
      <c r="G588" s="127"/>
      <c r="H588" s="127"/>
      <c r="I588" s="127"/>
      <c r="J588" s="128"/>
      <c r="K588" s="128"/>
      <c r="L588" s="128"/>
      <c r="M588" s="128"/>
      <c r="N588" s="128"/>
      <c r="O588" s="128"/>
      <c r="P588" s="128"/>
      <c r="Q588" s="128"/>
      <c r="R588" s="128"/>
      <c r="S588" s="388"/>
    </row>
    <row r="589" spans="1:24">
      <c r="A589" s="127"/>
      <c r="B589" s="74" t="s">
        <v>2098</v>
      </c>
      <c r="C589" s="127"/>
      <c r="D589" s="127"/>
      <c r="E589" s="127"/>
      <c r="F589" s="127"/>
      <c r="G589" s="127"/>
      <c r="H589" s="127"/>
      <c r="I589" s="127"/>
      <c r="J589" s="74"/>
      <c r="K589" s="74"/>
      <c r="L589" s="74"/>
      <c r="M589" s="74"/>
      <c r="N589" s="74"/>
      <c r="O589" s="74"/>
      <c r="P589" s="74"/>
      <c r="Q589" s="74"/>
      <c r="R589" s="74"/>
      <c r="S589" s="388"/>
    </row>
    <row r="590" spans="1:24" ht="15">
      <c r="A590" s="389"/>
      <c r="B590" s="57"/>
      <c r="C590" s="127"/>
      <c r="D590" s="127"/>
      <c r="E590" s="421"/>
      <c r="F590" s="127"/>
      <c r="G590" s="127"/>
      <c r="H590" s="127"/>
      <c r="I590" s="127"/>
      <c r="J590" s="128"/>
      <c r="K590" s="128"/>
      <c r="L590" s="128"/>
      <c r="M590" s="128"/>
      <c r="N590" s="128"/>
      <c r="O590" s="128"/>
      <c r="P590" s="128"/>
      <c r="Q590" s="128"/>
      <c r="R590" s="128"/>
      <c r="S590" s="388"/>
    </row>
    <row r="591" spans="1:24">
      <c r="A591" s="389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390"/>
    </row>
    <row r="592" spans="1:24">
      <c r="A592" s="389"/>
      <c r="B592" s="67" t="s">
        <v>2099</v>
      </c>
      <c r="C592" s="128"/>
      <c r="D592" s="128" t="s">
        <v>3462</v>
      </c>
      <c r="E592" s="128"/>
      <c r="G592" s="128"/>
      <c r="I592" s="128"/>
      <c r="J592" s="128"/>
      <c r="M592" s="128"/>
      <c r="N592" s="128"/>
      <c r="O592" s="128"/>
      <c r="P592" s="128"/>
      <c r="Q592" s="74"/>
      <c r="R592" s="74"/>
      <c r="S592" s="358"/>
    </row>
    <row r="593" spans="1:22">
      <c r="A593" s="127"/>
      <c r="B593" s="74"/>
      <c r="C593" s="74"/>
      <c r="D593" s="74"/>
      <c r="E593" s="74"/>
      <c r="F593" s="74"/>
      <c r="G593" s="74"/>
      <c r="I593" s="74"/>
      <c r="J593" s="74"/>
      <c r="M593" s="74"/>
      <c r="N593" s="74"/>
      <c r="O593" s="74"/>
      <c r="P593" s="74"/>
      <c r="Q593" s="74"/>
      <c r="R593" s="74"/>
      <c r="S593" s="390"/>
    </row>
    <row r="594" spans="1:22" ht="15">
      <c r="A594" s="127"/>
      <c r="B594" s="67" t="s">
        <v>2100</v>
      </c>
      <c r="C594" s="127"/>
      <c r="D594" s="123" t="s">
        <v>2100</v>
      </c>
      <c r="E594" s="128"/>
      <c r="F594" s="128"/>
      <c r="G594" s="128"/>
      <c r="I594" s="128"/>
      <c r="J594" s="128"/>
      <c r="M594" s="128"/>
      <c r="N594" s="128"/>
      <c r="O594" s="128"/>
      <c r="P594" s="128"/>
      <c r="Q594" s="128"/>
      <c r="R594" s="128"/>
      <c r="S594" s="391"/>
    </row>
    <row r="595" spans="1:22">
      <c r="A595" s="127"/>
      <c r="B595" s="74"/>
      <c r="C595" s="74"/>
      <c r="D595" s="74"/>
      <c r="E595" s="74"/>
      <c r="F595" s="74"/>
      <c r="G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390"/>
    </row>
    <row r="596" spans="1:22">
      <c r="A596" s="127"/>
      <c r="B596" s="74"/>
      <c r="C596" s="74"/>
      <c r="D596" s="123" t="s">
        <v>3463</v>
      </c>
      <c r="E596" s="74"/>
      <c r="K596" s="128"/>
      <c r="L596" s="128"/>
      <c r="M596" s="128"/>
      <c r="N596" s="128"/>
      <c r="O596" s="128"/>
      <c r="P596" s="128"/>
      <c r="Q596" s="128"/>
      <c r="R596" s="128"/>
      <c r="S596" s="390"/>
    </row>
    <row r="597" spans="1:22" ht="15">
      <c r="A597" s="127"/>
      <c r="B597" s="74"/>
      <c r="C597" s="74"/>
      <c r="E597" s="128"/>
      <c r="F597" s="128"/>
      <c r="M597" s="58"/>
      <c r="N597" s="58"/>
      <c r="O597" s="58"/>
      <c r="P597" s="58"/>
      <c r="Q597" s="58"/>
      <c r="S597" s="390"/>
    </row>
    <row r="598" spans="1:22" ht="15">
      <c r="A598" s="58"/>
      <c r="B598" s="57"/>
      <c r="C598" s="128"/>
      <c r="D598" s="123" t="s">
        <v>2100</v>
      </c>
      <c r="E598" s="74"/>
      <c r="F598" s="74"/>
      <c r="M598" s="58"/>
      <c r="N598" s="58"/>
      <c r="O598" s="58"/>
      <c r="P598" s="58"/>
      <c r="Q598" s="58"/>
      <c r="S598" s="391"/>
    </row>
    <row r="599" spans="1:22" ht="15">
      <c r="A599" s="58"/>
      <c r="B599" s="74"/>
      <c r="C599" s="74"/>
      <c r="D599" s="74"/>
      <c r="E599" s="74"/>
      <c r="F599" s="74"/>
      <c r="M599" s="58"/>
      <c r="N599" s="58"/>
      <c r="O599" s="58"/>
      <c r="P599" s="58"/>
      <c r="Q599" s="58"/>
      <c r="S599" s="390"/>
    </row>
    <row r="600" spans="1:22" ht="15">
      <c r="A600" s="58"/>
      <c r="C600" s="58"/>
      <c r="D600" s="58"/>
      <c r="E600" s="58"/>
      <c r="F600" s="58"/>
      <c r="G600" s="128"/>
      <c r="H600" s="128"/>
      <c r="I600" s="128"/>
      <c r="M600" s="58"/>
      <c r="N600" s="58"/>
      <c r="O600" s="58"/>
      <c r="P600" s="58"/>
      <c r="Q600" s="58"/>
      <c r="T600" s="58"/>
    </row>
    <row r="601" spans="1:22" ht="15">
      <c r="M601" s="58"/>
      <c r="N601" s="58"/>
      <c r="O601" s="58"/>
      <c r="P601" s="58"/>
      <c r="Q601" s="58"/>
    </row>
    <row r="602" spans="1:22" ht="15">
      <c r="R602" s="58"/>
      <c r="S602" s="58"/>
      <c r="T602" s="58"/>
      <c r="U602" s="58"/>
      <c r="V602" s="58"/>
    </row>
    <row r="603" spans="1:22" ht="15">
      <c r="R603" s="59"/>
      <c r="S603" s="59"/>
      <c r="T603" s="59"/>
      <c r="U603" s="59"/>
      <c r="V603" s="59"/>
    </row>
    <row r="604" spans="1:22" ht="15">
      <c r="R604" s="59"/>
      <c r="S604" s="59"/>
      <c r="T604" s="59"/>
      <c r="U604" s="59"/>
      <c r="V604" s="59"/>
    </row>
    <row r="605" spans="1:22" ht="15">
      <c r="R605" s="59"/>
      <c r="S605" s="59"/>
      <c r="T605" s="59"/>
      <c r="U605" s="59"/>
      <c r="V605" s="59"/>
    </row>
    <row r="606" spans="1:22" ht="15">
      <c r="R606" s="59"/>
      <c r="S606" s="59"/>
      <c r="T606" s="59"/>
      <c r="U606" s="59"/>
      <c r="V606" s="59"/>
    </row>
    <row r="607" spans="1:22" ht="15">
      <c r="R607" s="59"/>
      <c r="S607" s="59"/>
      <c r="T607" s="59"/>
      <c r="U607" s="59"/>
      <c r="V607" s="59"/>
    </row>
    <row r="608" spans="1:22" ht="15">
      <c r="R608" s="59"/>
      <c r="S608" s="59"/>
      <c r="T608" s="59"/>
      <c r="U608" s="59"/>
      <c r="V608" s="59"/>
    </row>
    <row r="609" spans="18:22" ht="15">
      <c r="R609" s="59"/>
      <c r="S609" s="59"/>
      <c r="T609" s="59"/>
      <c r="U609" s="59"/>
      <c r="V609" s="59"/>
    </row>
    <row r="610" spans="18:22" ht="15">
      <c r="R610" s="59"/>
      <c r="S610" s="59"/>
      <c r="T610" s="59"/>
      <c r="U610" s="59"/>
      <c r="V610" s="59"/>
    </row>
    <row r="611" spans="18:22" ht="15">
      <c r="R611" s="59"/>
      <c r="S611" s="59"/>
      <c r="T611" s="59"/>
      <c r="U611" s="59"/>
      <c r="V611" s="59"/>
    </row>
    <row r="612" spans="18:22" ht="15">
      <c r="R612" s="59"/>
      <c r="S612" s="59"/>
      <c r="T612" s="59"/>
      <c r="U612" s="59"/>
      <c r="V612" s="59"/>
    </row>
    <row r="613" spans="18:22" ht="15">
      <c r="R613" s="59"/>
      <c r="S613" s="59"/>
      <c r="T613" s="59"/>
      <c r="U613" s="59"/>
      <c r="V613" s="59"/>
    </row>
    <row r="614" spans="18:22" ht="15">
      <c r="R614" s="59"/>
      <c r="S614" s="59"/>
      <c r="T614" s="59"/>
      <c r="U614" s="59"/>
      <c r="V614" s="59"/>
    </row>
    <row r="615" spans="18:22" ht="15">
      <c r="R615" s="59"/>
      <c r="S615" s="59"/>
      <c r="T615" s="59"/>
      <c r="U615" s="59"/>
      <c r="V615" s="59"/>
    </row>
    <row r="616" spans="18:22" ht="15">
      <c r="R616" s="59"/>
      <c r="S616" s="59"/>
      <c r="T616" s="59"/>
      <c r="U616" s="59"/>
      <c r="V616" s="59"/>
    </row>
    <row r="617" spans="18:22" ht="15">
      <c r="R617" s="59"/>
      <c r="S617" s="59"/>
      <c r="T617" s="59"/>
      <c r="U617" s="59"/>
      <c r="V617" s="59"/>
    </row>
    <row r="618" spans="18:22" ht="15">
      <c r="R618" s="59"/>
      <c r="S618" s="59"/>
      <c r="T618" s="59"/>
      <c r="U618" s="59"/>
      <c r="V618" s="59"/>
    </row>
    <row r="619" spans="18:22" ht="15">
      <c r="R619" s="59"/>
      <c r="S619" s="59"/>
      <c r="T619" s="59"/>
      <c r="U619" s="59"/>
      <c r="V619" s="59"/>
    </row>
    <row r="620" spans="18:22" ht="15">
      <c r="R620" s="59"/>
      <c r="S620" s="59"/>
      <c r="T620" s="59"/>
      <c r="U620" s="59"/>
      <c r="V620" s="59"/>
    </row>
    <row r="621" spans="18:22" ht="15">
      <c r="R621" s="59"/>
      <c r="S621" s="59"/>
      <c r="T621" s="59"/>
      <c r="U621" s="59"/>
      <c r="V621" s="59"/>
    </row>
    <row r="622" spans="18:22" ht="15">
      <c r="R622" s="59"/>
      <c r="S622" s="59"/>
      <c r="T622" s="59"/>
      <c r="U622" s="59"/>
      <c r="V622" s="59"/>
    </row>
    <row r="623" spans="18:22" ht="15">
      <c r="R623" s="59"/>
      <c r="S623" s="59"/>
      <c r="T623" s="59"/>
      <c r="U623" s="59"/>
      <c r="V623" s="59"/>
    </row>
    <row r="624" spans="18:22" ht="15">
      <c r="R624" s="59"/>
      <c r="S624" s="59"/>
      <c r="T624" s="59"/>
      <c r="U624" s="59"/>
      <c r="V624" s="59"/>
    </row>
    <row r="625" spans="18:22" ht="15">
      <c r="R625" s="59"/>
      <c r="S625" s="59"/>
      <c r="T625" s="59"/>
      <c r="U625" s="59"/>
      <c r="V625" s="59"/>
    </row>
    <row r="626" spans="18:22" ht="15">
      <c r="R626" s="59"/>
      <c r="S626" s="59"/>
      <c r="T626" s="59"/>
      <c r="U626" s="59"/>
      <c r="V626" s="59"/>
    </row>
    <row r="627" spans="18:22" ht="15">
      <c r="R627" s="59"/>
      <c r="S627" s="59"/>
      <c r="T627" s="59"/>
      <c r="U627" s="59"/>
      <c r="V627" s="59"/>
    </row>
    <row r="628" spans="18:22" ht="15">
      <c r="R628" s="59"/>
      <c r="S628" s="59"/>
      <c r="T628" s="59"/>
      <c r="U628" s="59"/>
      <c r="V628" s="59"/>
    </row>
    <row r="629" spans="18:22" ht="15">
      <c r="R629" s="59"/>
      <c r="S629" s="59"/>
      <c r="T629" s="59"/>
      <c r="U629" s="59"/>
      <c r="V629" s="59"/>
    </row>
    <row r="630" spans="18:22" ht="15">
      <c r="R630" s="59"/>
      <c r="S630" s="59"/>
      <c r="T630" s="59"/>
      <c r="U630" s="59"/>
      <c r="V630" s="59"/>
    </row>
    <row r="631" spans="18:22" ht="15">
      <c r="R631" s="59"/>
      <c r="S631" s="59"/>
      <c r="T631" s="59"/>
      <c r="U631" s="59"/>
      <c r="V631" s="59"/>
    </row>
    <row r="632" spans="18:22" ht="15">
      <c r="R632" s="59"/>
      <c r="S632" s="59"/>
      <c r="T632" s="59"/>
      <c r="U632" s="59"/>
      <c r="V632" s="59"/>
    </row>
    <row r="633" spans="18:22" ht="15">
      <c r="R633" s="59"/>
      <c r="S633" s="59"/>
      <c r="T633" s="59"/>
      <c r="U633" s="59"/>
      <c r="V633" s="59"/>
    </row>
    <row r="634" spans="18:22" ht="15">
      <c r="R634" s="59"/>
      <c r="S634" s="59"/>
      <c r="T634" s="59"/>
      <c r="U634" s="59"/>
      <c r="V634" s="59"/>
    </row>
    <row r="635" spans="18:22" ht="15">
      <c r="R635" s="59"/>
      <c r="S635" s="59"/>
      <c r="T635" s="59"/>
      <c r="U635" s="59"/>
      <c r="V635" s="59"/>
    </row>
    <row r="636" spans="18:22" ht="15">
      <c r="R636" s="59"/>
      <c r="S636" s="59"/>
      <c r="T636" s="59"/>
      <c r="U636" s="59"/>
      <c r="V636" s="59"/>
    </row>
    <row r="637" spans="18:22" ht="15">
      <c r="R637" s="59"/>
      <c r="S637" s="59"/>
      <c r="T637" s="59"/>
      <c r="U637" s="59"/>
      <c r="V637" s="59"/>
    </row>
    <row r="638" spans="18:22" ht="15">
      <c r="R638" s="59"/>
      <c r="S638" s="59"/>
      <c r="T638" s="59"/>
      <c r="U638" s="59"/>
      <c r="V638" s="59"/>
    </row>
    <row r="639" spans="18:22" ht="15">
      <c r="R639" s="59"/>
      <c r="S639" s="59"/>
      <c r="T639" s="59"/>
      <c r="U639" s="59"/>
      <c r="V639" s="59"/>
    </row>
    <row r="640" spans="18:22" ht="15">
      <c r="R640" s="59"/>
      <c r="S640" s="59"/>
      <c r="T640" s="59"/>
      <c r="U640" s="59"/>
      <c r="V640" s="59"/>
    </row>
    <row r="641" spans="18:22" ht="15">
      <c r="R641" s="59"/>
      <c r="S641" s="59"/>
      <c r="T641" s="59"/>
      <c r="U641" s="59"/>
      <c r="V641" s="59"/>
    </row>
    <row r="642" spans="18:22" ht="15">
      <c r="R642" s="59"/>
      <c r="S642" s="59"/>
      <c r="T642" s="59"/>
      <c r="U642" s="59"/>
      <c r="V642" s="59"/>
    </row>
    <row r="643" spans="18:22" ht="15">
      <c r="R643" s="59"/>
      <c r="S643" s="59"/>
      <c r="T643" s="59"/>
      <c r="U643" s="59"/>
      <c r="V643" s="59"/>
    </row>
    <row r="644" spans="18:22" ht="15">
      <c r="R644" s="59"/>
      <c r="S644" s="59"/>
      <c r="T644" s="59"/>
      <c r="U644" s="59"/>
      <c r="V644" s="59"/>
    </row>
    <row r="645" spans="18:22" ht="15">
      <c r="R645" s="59"/>
      <c r="S645" s="59"/>
      <c r="T645" s="59"/>
      <c r="U645" s="59"/>
      <c r="V645" s="59"/>
    </row>
    <row r="646" spans="18:22" ht="15">
      <c r="R646" s="59"/>
      <c r="S646" s="59"/>
      <c r="T646" s="59"/>
      <c r="U646" s="59"/>
      <c r="V646" s="59"/>
    </row>
    <row r="647" spans="18:22" ht="15">
      <c r="R647" s="59"/>
      <c r="S647" s="59"/>
      <c r="T647" s="59"/>
      <c r="U647" s="59"/>
      <c r="V647" s="59"/>
    </row>
    <row r="648" spans="18:22" ht="15">
      <c r="R648" s="59"/>
      <c r="S648" s="59"/>
      <c r="T648" s="59"/>
      <c r="U648" s="59"/>
      <c r="V648" s="59"/>
    </row>
    <row r="649" spans="18:22" ht="15">
      <c r="R649" s="59"/>
      <c r="S649" s="59"/>
      <c r="T649" s="59"/>
      <c r="U649" s="59"/>
      <c r="V649" s="59"/>
    </row>
    <row r="650" spans="18:22" ht="15">
      <c r="R650" s="59"/>
      <c r="S650" s="59"/>
      <c r="T650" s="59"/>
      <c r="U650" s="59"/>
      <c r="V650" s="59"/>
    </row>
  </sheetData>
  <mergeCells count="2">
    <mergeCell ref="A18:AC18"/>
    <mergeCell ref="D23:E23"/>
  </mergeCells>
  <pageMargins left="0.70866141732283472" right="0.70866141732283472" top="0.74803149606299213" bottom="0.74803149606299213" header="0.31496062992125984" footer="0.31496062992125984"/>
  <pageSetup paperSize="9" scale="54" fitToHeight="10" orientation="portrait" r:id="rId1"/>
  <headerFooter>
    <oddHeader>&amp;LASUFC Conto Economico Preventivo 2025 - Gestione Sanità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51"/>
  <sheetViews>
    <sheetView zoomScale="90" zoomScaleNormal="90" workbookViewId="0">
      <pane ySplit="2" topLeftCell="A381" activePane="bottomLeft" state="frozen"/>
      <selection activeCell="A34" sqref="A34"/>
      <selection pane="bottomLeft" activeCell="M1" sqref="M1:M2"/>
    </sheetView>
  </sheetViews>
  <sheetFormatPr defaultRowHeight="12.75"/>
  <cols>
    <col min="1" max="6" width="5.5703125" style="250" customWidth="1"/>
    <col min="7" max="7" width="16.85546875" style="250" hidden="1" customWidth="1"/>
    <col min="8" max="8" width="52.28515625" style="410" customWidth="1"/>
    <col min="9" max="9" width="14.5703125" style="250" customWidth="1"/>
    <col min="10" max="10" width="9.5703125" customWidth="1"/>
    <col min="11" max="14" width="18.28515625" customWidth="1"/>
    <col min="15" max="20" width="5" bestFit="1" customWidth="1"/>
  </cols>
  <sheetData>
    <row r="1" spans="1:20" s="354" customFormat="1" ht="55.5" customHeight="1" thickBot="1">
      <c r="A1" s="400" t="s">
        <v>119</v>
      </c>
      <c r="B1" s="401"/>
      <c r="C1" s="401"/>
      <c r="D1" s="401"/>
      <c r="E1" s="401"/>
      <c r="F1" s="402"/>
      <c r="G1" s="1002" t="s">
        <v>3454</v>
      </c>
      <c r="H1" s="1002" t="s">
        <v>120</v>
      </c>
      <c r="I1" s="1003" t="s">
        <v>121</v>
      </c>
      <c r="J1" s="324" t="s">
        <v>2219</v>
      </c>
      <c r="K1" s="1005" t="s">
        <v>3521</v>
      </c>
      <c r="L1" s="998" t="s">
        <v>3522</v>
      </c>
      <c r="M1" s="998" t="s">
        <v>3523</v>
      </c>
      <c r="N1" s="1000" t="s">
        <v>3524</v>
      </c>
    </row>
    <row r="2" spans="1:20" ht="13.5" customHeight="1" thickBot="1">
      <c r="A2" s="403" t="s">
        <v>122</v>
      </c>
      <c r="B2" s="403" t="s">
        <v>123</v>
      </c>
      <c r="C2" s="403" t="s">
        <v>124</v>
      </c>
      <c r="D2" s="403" t="s">
        <v>125</v>
      </c>
      <c r="E2" s="403" t="s">
        <v>126</v>
      </c>
      <c r="F2" s="403" t="s">
        <v>127</v>
      </c>
      <c r="G2" s="1002"/>
      <c r="H2" s="1002"/>
      <c r="I2" s="1004"/>
      <c r="J2" s="323"/>
      <c r="K2" s="1006"/>
      <c r="L2" s="999"/>
      <c r="M2" s="999"/>
      <c r="N2" s="1001"/>
    </row>
    <row r="3" spans="1:20">
      <c r="A3" s="404">
        <v>300</v>
      </c>
      <c r="B3" s="405">
        <v>0</v>
      </c>
      <c r="C3" s="405">
        <v>0</v>
      </c>
      <c r="D3" s="405">
        <v>0</v>
      </c>
      <c r="E3" s="405">
        <v>0</v>
      </c>
      <c r="F3" s="405">
        <v>0</v>
      </c>
      <c r="G3" s="339">
        <v>300</v>
      </c>
      <c r="H3" s="339" t="s">
        <v>535</v>
      </c>
      <c r="I3" s="52" t="s">
        <v>536</v>
      </c>
      <c r="J3" s="52"/>
      <c r="K3" s="335"/>
      <c r="L3" s="335"/>
      <c r="M3" s="335"/>
      <c r="N3" s="335"/>
    </row>
    <row r="4" spans="1:20">
      <c r="A4" s="174">
        <v>300</v>
      </c>
      <c r="B4" s="326">
        <v>100</v>
      </c>
      <c r="C4" s="326">
        <v>0</v>
      </c>
      <c r="D4" s="326">
        <v>0</v>
      </c>
      <c r="E4" s="326">
        <v>0</v>
      </c>
      <c r="F4" s="326">
        <v>0</v>
      </c>
      <c r="G4" s="331" t="s">
        <v>2339</v>
      </c>
      <c r="H4" s="331" t="s">
        <v>537</v>
      </c>
      <c r="I4" s="332" t="s">
        <v>538</v>
      </c>
      <c r="J4" s="332"/>
      <c r="K4" s="412"/>
      <c r="L4" s="412"/>
      <c r="M4" s="412"/>
      <c r="N4" s="412"/>
    </row>
    <row r="5" spans="1:20">
      <c r="A5" s="173">
        <v>300</v>
      </c>
      <c r="B5" s="325">
        <v>100</v>
      </c>
      <c r="C5" s="326">
        <v>100</v>
      </c>
      <c r="D5" s="326">
        <v>0</v>
      </c>
      <c r="E5" s="326">
        <v>0</v>
      </c>
      <c r="F5" s="326">
        <v>0</v>
      </c>
      <c r="G5" s="331" t="s">
        <v>2340</v>
      </c>
      <c r="H5" s="331" t="s">
        <v>539</v>
      </c>
      <c r="I5" s="333" t="s">
        <v>540</v>
      </c>
      <c r="J5" s="333"/>
      <c r="K5" s="411"/>
      <c r="L5" s="411"/>
      <c r="M5" s="411"/>
      <c r="N5" s="411"/>
    </row>
    <row r="6" spans="1:20" ht="38.25">
      <c r="A6" s="173">
        <v>300</v>
      </c>
      <c r="B6" s="325">
        <v>100</v>
      </c>
      <c r="C6" s="326">
        <v>100</v>
      </c>
      <c r="D6" s="326">
        <v>100</v>
      </c>
      <c r="E6" s="326">
        <v>0</v>
      </c>
      <c r="F6" s="326">
        <v>0</v>
      </c>
      <c r="G6" s="330" t="s">
        <v>2341</v>
      </c>
      <c r="H6" s="330" t="s">
        <v>543</v>
      </c>
      <c r="I6" s="326" t="s">
        <v>542</v>
      </c>
      <c r="J6" s="326"/>
      <c r="K6" s="334">
        <f>+L6+M6</f>
        <v>163355.60999999999</v>
      </c>
      <c r="L6" s="334">
        <v>163355.60999999999</v>
      </c>
      <c r="M6" s="334"/>
      <c r="N6" s="334">
        <v>1468380.08</v>
      </c>
      <c r="O6" s="232"/>
      <c r="P6" s="232"/>
      <c r="Q6" s="232"/>
      <c r="R6" s="232"/>
      <c r="S6" s="232"/>
      <c r="T6" s="232"/>
    </row>
    <row r="7" spans="1:20" ht="25.5">
      <c r="A7" s="173">
        <v>300</v>
      </c>
      <c r="B7" s="325">
        <v>100</v>
      </c>
      <c r="C7" s="326">
        <v>100</v>
      </c>
      <c r="D7" s="326">
        <v>101</v>
      </c>
      <c r="E7" s="326">
        <v>0</v>
      </c>
      <c r="F7" s="326">
        <v>0</v>
      </c>
      <c r="G7" s="330" t="s">
        <v>2220</v>
      </c>
      <c r="H7" s="330" t="s">
        <v>2221</v>
      </c>
      <c r="I7" s="326" t="s">
        <v>542</v>
      </c>
      <c r="J7" s="326"/>
      <c r="K7" s="334">
        <f t="shared" ref="K7:K70" si="0">+L7+M7</f>
        <v>302507.56</v>
      </c>
      <c r="L7" s="334">
        <v>302507.56</v>
      </c>
      <c r="M7" s="334"/>
      <c r="N7" s="334">
        <v>290488.32000000001</v>
      </c>
      <c r="O7" s="232"/>
      <c r="P7" s="232"/>
      <c r="Q7" s="232"/>
      <c r="R7" s="232"/>
      <c r="S7" s="232"/>
      <c r="T7" s="232"/>
    </row>
    <row r="8" spans="1:20">
      <c r="A8" s="173">
        <v>300</v>
      </c>
      <c r="B8" s="325">
        <v>100</v>
      </c>
      <c r="C8" s="326">
        <v>100</v>
      </c>
      <c r="D8" s="326">
        <v>200</v>
      </c>
      <c r="E8" s="326">
        <v>0</v>
      </c>
      <c r="F8" s="326">
        <v>0</v>
      </c>
      <c r="G8" s="330" t="s">
        <v>2342</v>
      </c>
      <c r="H8" s="330" t="s">
        <v>544</v>
      </c>
      <c r="I8" s="326" t="s">
        <v>545</v>
      </c>
      <c r="J8" s="326"/>
      <c r="K8" s="334">
        <f t="shared" si="0"/>
        <v>16741.59</v>
      </c>
      <c r="L8" s="334">
        <v>16741.59</v>
      </c>
      <c r="M8" s="334"/>
      <c r="N8" s="334">
        <v>3416.32</v>
      </c>
      <c r="O8" s="232"/>
      <c r="P8" s="232"/>
      <c r="Q8" s="232"/>
      <c r="R8" s="232"/>
      <c r="S8" s="232"/>
      <c r="T8" s="232"/>
    </row>
    <row r="9" spans="1:20" ht="25.5">
      <c r="A9" s="173">
        <v>300</v>
      </c>
      <c r="B9" s="325">
        <v>100</v>
      </c>
      <c r="C9" s="326">
        <v>100</v>
      </c>
      <c r="D9" s="326">
        <v>201</v>
      </c>
      <c r="E9" s="326">
        <v>0</v>
      </c>
      <c r="F9" s="326">
        <v>0</v>
      </c>
      <c r="G9" s="330" t="s">
        <v>2222</v>
      </c>
      <c r="H9" s="330" t="s">
        <v>2223</v>
      </c>
      <c r="I9" s="326" t="s">
        <v>545</v>
      </c>
      <c r="J9" s="326"/>
      <c r="K9" s="334">
        <f t="shared" si="0"/>
        <v>13246.75</v>
      </c>
      <c r="L9" s="334">
        <v>13246.75</v>
      </c>
      <c r="M9" s="334"/>
      <c r="N9" s="334">
        <v>20903.12</v>
      </c>
      <c r="O9" s="232"/>
      <c r="P9" s="232"/>
      <c r="Q9" s="232"/>
      <c r="R9" s="232"/>
      <c r="S9" s="232"/>
      <c r="T9" s="232"/>
    </row>
    <row r="10" spans="1:20">
      <c r="A10" s="173">
        <v>300</v>
      </c>
      <c r="B10" s="325">
        <v>100</v>
      </c>
      <c r="C10" s="326">
        <v>100</v>
      </c>
      <c r="D10" s="326">
        <v>250</v>
      </c>
      <c r="E10" s="326">
        <v>0</v>
      </c>
      <c r="F10" s="326">
        <v>0</v>
      </c>
      <c r="G10" s="330" t="s">
        <v>2343</v>
      </c>
      <c r="H10" s="330" t="s">
        <v>546</v>
      </c>
      <c r="I10" s="326" t="s">
        <v>547</v>
      </c>
      <c r="J10" s="326"/>
      <c r="K10" s="334">
        <f t="shared" si="0"/>
        <v>106841.68</v>
      </c>
      <c r="L10" s="334">
        <v>106841.68</v>
      </c>
      <c r="M10" s="334"/>
      <c r="N10" s="334">
        <v>72485.86</v>
      </c>
      <c r="O10" s="232"/>
      <c r="P10" s="232"/>
      <c r="Q10" s="232"/>
      <c r="R10" s="232"/>
      <c r="S10" s="232"/>
      <c r="T10" s="232"/>
    </row>
    <row r="11" spans="1:20">
      <c r="A11" s="173">
        <v>300</v>
      </c>
      <c r="B11" s="325">
        <v>100</v>
      </c>
      <c r="C11" s="326">
        <v>100</v>
      </c>
      <c r="D11" s="326">
        <v>300</v>
      </c>
      <c r="E11" s="326">
        <v>0</v>
      </c>
      <c r="F11" s="326">
        <v>0</v>
      </c>
      <c r="G11" s="330" t="s">
        <v>2344</v>
      </c>
      <c r="H11" s="330" t="s">
        <v>548</v>
      </c>
      <c r="I11" s="326" t="s">
        <v>549</v>
      </c>
      <c r="J11" s="325"/>
      <c r="K11" s="335">
        <f t="shared" si="0"/>
        <v>0</v>
      </c>
      <c r="L11" s="335">
        <v>0</v>
      </c>
      <c r="M11" s="335"/>
      <c r="N11" s="335">
        <v>0</v>
      </c>
      <c r="O11" s="232"/>
      <c r="P11" s="232"/>
      <c r="Q11" s="232"/>
      <c r="R11" s="232"/>
      <c r="S11" s="232"/>
      <c r="T11" s="232"/>
    </row>
    <row r="12" spans="1:20" ht="38.25">
      <c r="A12" s="173">
        <v>300</v>
      </c>
      <c r="B12" s="325">
        <v>100</v>
      </c>
      <c r="C12" s="326">
        <v>100</v>
      </c>
      <c r="D12" s="326">
        <v>300</v>
      </c>
      <c r="E12" s="326">
        <v>100</v>
      </c>
      <c r="F12" s="326">
        <v>0</v>
      </c>
      <c r="G12" s="330" t="s">
        <v>2345</v>
      </c>
      <c r="H12" s="330" t="s">
        <v>550</v>
      </c>
      <c r="I12" s="326" t="s">
        <v>551</v>
      </c>
      <c r="J12" s="326" t="s">
        <v>1530</v>
      </c>
      <c r="K12" s="334">
        <f t="shared" si="0"/>
        <v>0</v>
      </c>
      <c r="L12" s="334">
        <v>0</v>
      </c>
      <c r="M12" s="334"/>
      <c r="N12" s="334">
        <v>0</v>
      </c>
      <c r="O12" s="232"/>
      <c r="P12" s="232"/>
      <c r="Q12" s="232"/>
      <c r="R12" s="232"/>
      <c r="S12" s="232"/>
      <c r="T12" s="232"/>
    </row>
    <row r="13" spans="1:20" ht="38.25">
      <c r="A13" s="173">
        <v>300</v>
      </c>
      <c r="B13" s="325">
        <v>100</v>
      </c>
      <c r="C13" s="326">
        <v>100</v>
      </c>
      <c r="D13" s="326">
        <v>300</v>
      </c>
      <c r="E13" s="326">
        <v>200</v>
      </c>
      <c r="F13" s="326">
        <v>0</v>
      </c>
      <c r="G13" s="330" t="s">
        <v>2346</v>
      </c>
      <c r="H13" s="330" t="s">
        <v>552</v>
      </c>
      <c r="I13" s="326" t="s">
        <v>553</v>
      </c>
      <c r="J13" s="326" t="s">
        <v>1575</v>
      </c>
      <c r="K13" s="334">
        <f t="shared" si="0"/>
        <v>0</v>
      </c>
      <c r="L13" s="334">
        <v>0</v>
      </c>
      <c r="M13" s="334"/>
      <c r="N13" s="334">
        <v>0</v>
      </c>
      <c r="O13" s="232"/>
      <c r="P13" s="232"/>
      <c r="Q13" s="232"/>
      <c r="R13" s="232"/>
      <c r="S13" s="232"/>
      <c r="T13" s="232"/>
    </row>
    <row r="14" spans="1:20">
      <c r="A14" s="173">
        <v>300</v>
      </c>
      <c r="B14" s="325">
        <v>100</v>
      </c>
      <c r="C14" s="326">
        <v>100</v>
      </c>
      <c r="D14" s="326">
        <v>300</v>
      </c>
      <c r="E14" s="326">
        <v>300</v>
      </c>
      <c r="F14" s="326">
        <v>0</v>
      </c>
      <c r="G14" s="330" t="s">
        <v>2347</v>
      </c>
      <c r="H14" s="330" t="s">
        <v>554</v>
      </c>
      <c r="I14" s="326" t="s">
        <v>555</v>
      </c>
      <c r="J14" s="326"/>
      <c r="K14" s="334">
        <f t="shared" si="0"/>
        <v>0</v>
      </c>
      <c r="L14" s="334">
        <v>0</v>
      </c>
      <c r="M14" s="334"/>
      <c r="N14" s="334">
        <v>0</v>
      </c>
      <c r="O14" s="232"/>
      <c r="P14" s="232"/>
      <c r="Q14" s="232"/>
      <c r="R14" s="232"/>
      <c r="S14" s="232"/>
      <c r="T14" s="232"/>
    </row>
    <row r="15" spans="1:20">
      <c r="A15" s="173">
        <v>300</v>
      </c>
      <c r="B15" s="325">
        <v>100</v>
      </c>
      <c r="C15" s="326">
        <v>200</v>
      </c>
      <c r="D15" s="326">
        <v>0</v>
      </c>
      <c r="E15" s="326">
        <v>0</v>
      </c>
      <c r="F15" s="326">
        <v>0</v>
      </c>
      <c r="G15" s="331" t="s">
        <v>2348</v>
      </c>
      <c r="H15" s="331" t="s">
        <v>556</v>
      </c>
      <c r="I15" s="332" t="s">
        <v>557</v>
      </c>
      <c r="J15" s="333"/>
      <c r="K15" s="335">
        <f t="shared" si="0"/>
        <v>0</v>
      </c>
      <c r="L15" s="335">
        <v>0</v>
      </c>
      <c r="M15" s="335"/>
      <c r="N15" s="335">
        <v>0</v>
      </c>
      <c r="O15" s="232"/>
      <c r="P15" s="232"/>
      <c r="Q15" s="232"/>
      <c r="R15" s="232"/>
      <c r="S15" s="232"/>
      <c r="T15" s="232"/>
    </row>
    <row r="16" spans="1:20" ht="25.5">
      <c r="A16" s="174">
        <v>300</v>
      </c>
      <c r="B16" s="326">
        <v>100</v>
      </c>
      <c r="C16" s="326">
        <v>200</v>
      </c>
      <c r="D16" s="326">
        <v>100</v>
      </c>
      <c r="E16" s="326">
        <v>0</v>
      </c>
      <c r="F16" s="326">
        <v>0</v>
      </c>
      <c r="G16" s="330" t="s">
        <v>2349</v>
      </c>
      <c r="H16" s="330" t="s">
        <v>558</v>
      </c>
      <c r="I16" s="332" t="s">
        <v>559</v>
      </c>
      <c r="J16" s="332" t="s">
        <v>1530</v>
      </c>
      <c r="K16" s="334">
        <f t="shared" si="0"/>
        <v>0</v>
      </c>
      <c r="L16" s="334">
        <v>0</v>
      </c>
      <c r="M16" s="334"/>
      <c r="N16" s="334">
        <v>0</v>
      </c>
      <c r="O16" s="232"/>
      <c r="P16" s="232"/>
      <c r="Q16" s="232"/>
      <c r="R16" s="232"/>
      <c r="S16" s="232"/>
      <c r="T16" s="232"/>
    </row>
    <row r="17" spans="1:20" ht="25.5">
      <c r="A17" s="173">
        <v>300</v>
      </c>
      <c r="B17" s="325">
        <v>100</v>
      </c>
      <c r="C17" s="326">
        <v>200</v>
      </c>
      <c r="D17" s="326">
        <v>200</v>
      </c>
      <c r="E17" s="326">
        <v>0</v>
      </c>
      <c r="F17" s="326">
        <v>0</v>
      </c>
      <c r="G17" s="330" t="s">
        <v>2350</v>
      </c>
      <c r="H17" s="330" t="s">
        <v>560</v>
      </c>
      <c r="I17" s="326" t="s">
        <v>561</v>
      </c>
      <c r="J17" s="326" t="s">
        <v>1575</v>
      </c>
      <c r="K17" s="334">
        <f t="shared" si="0"/>
        <v>0</v>
      </c>
      <c r="L17" s="334">
        <v>0</v>
      </c>
      <c r="M17" s="334"/>
      <c r="N17" s="334">
        <v>0</v>
      </c>
      <c r="O17" s="232"/>
      <c r="P17" s="232"/>
      <c r="Q17" s="232"/>
      <c r="R17" s="232"/>
      <c r="S17" s="232"/>
      <c r="T17" s="232"/>
    </row>
    <row r="18" spans="1:20">
      <c r="A18" s="173">
        <v>300</v>
      </c>
      <c r="B18" s="325">
        <v>100</v>
      </c>
      <c r="C18" s="326">
        <v>200</v>
      </c>
      <c r="D18" s="326">
        <v>300</v>
      </c>
      <c r="E18" s="326">
        <v>0</v>
      </c>
      <c r="F18" s="326">
        <v>0</v>
      </c>
      <c r="G18" s="330" t="s">
        <v>2351</v>
      </c>
      <c r="H18" s="330" t="s">
        <v>562</v>
      </c>
      <c r="I18" s="326" t="s">
        <v>563</v>
      </c>
      <c r="J18" s="326"/>
      <c r="K18" s="334">
        <f t="shared" si="0"/>
        <v>0</v>
      </c>
      <c r="L18" s="334">
        <v>0</v>
      </c>
      <c r="M18" s="334"/>
      <c r="N18" s="334">
        <v>0</v>
      </c>
      <c r="O18" s="232"/>
      <c r="P18" s="232"/>
      <c r="Q18" s="232"/>
      <c r="R18" s="232"/>
      <c r="S18" s="232"/>
      <c r="T18" s="232"/>
    </row>
    <row r="19" spans="1:20">
      <c r="A19" s="173">
        <v>300</v>
      </c>
      <c r="B19" s="325">
        <v>100</v>
      </c>
      <c r="C19" s="326">
        <v>300</v>
      </c>
      <c r="D19" s="326">
        <v>0</v>
      </c>
      <c r="E19" s="326">
        <v>0</v>
      </c>
      <c r="F19" s="326">
        <v>0</v>
      </c>
      <c r="G19" s="331" t="s">
        <v>2352</v>
      </c>
      <c r="H19" s="331" t="s">
        <v>564</v>
      </c>
      <c r="I19" s="326" t="s">
        <v>565</v>
      </c>
      <c r="J19" s="325"/>
      <c r="K19" s="335">
        <f t="shared" si="0"/>
        <v>0</v>
      </c>
      <c r="L19" s="335">
        <v>0</v>
      </c>
      <c r="M19" s="335"/>
      <c r="N19" s="335">
        <v>0</v>
      </c>
      <c r="O19" s="232"/>
      <c r="P19" s="232"/>
      <c r="Q19" s="232"/>
      <c r="R19" s="232"/>
      <c r="S19" s="232"/>
      <c r="T19" s="232"/>
    </row>
    <row r="20" spans="1:20">
      <c r="A20" s="173">
        <v>300</v>
      </c>
      <c r="B20" s="325">
        <v>100</v>
      </c>
      <c r="C20" s="326">
        <v>300</v>
      </c>
      <c r="D20" s="326">
        <v>100</v>
      </c>
      <c r="E20" s="326">
        <v>0</v>
      </c>
      <c r="F20" s="326">
        <v>0</v>
      </c>
      <c r="G20" s="330" t="s">
        <v>2353</v>
      </c>
      <c r="H20" s="330" t="s">
        <v>566</v>
      </c>
      <c r="I20" s="326" t="s">
        <v>567</v>
      </c>
      <c r="J20" s="326"/>
      <c r="K20" s="334">
        <f t="shared" si="0"/>
        <v>2084122.9</v>
      </c>
      <c r="L20" s="334">
        <v>2084122.9</v>
      </c>
      <c r="M20" s="334"/>
      <c r="N20" s="334">
        <v>2271251.7599999998</v>
      </c>
      <c r="O20" s="232"/>
      <c r="P20" s="232"/>
      <c r="Q20" s="232"/>
      <c r="R20" s="232"/>
      <c r="S20" s="232"/>
      <c r="T20" s="232"/>
    </row>
    <row r="21" spans="1:20" ht="25.5">
      <c r="A21" s="173">
        <v>300</v>
      </c>
      <c r="B21" s="325">
        <v>100</v>
      </c>
      <c r="C21" s="326">
        <v>300</v>
      </c>
      <c r="D21" s="326">
        <v>101</v>
      </c>
      <c r="E21" s="326">
        <v>0</v>
      </c>
      <c r="F21" s="326">
        <v>0</v>
      </c>
      <c r="G21" s="330" t="s">
        <v>2224</v>
      </c>
      <c r="H21" s="330" t="s">
        <v>2225</v>
      </c>
      <c r="I21" s="326" t="s">
        <v>567</v>
      </c>
      <c r="J21" s="326"/>
      <c r="K21" s="334">
        <f t="shared" si="0"/>
        <v>320067.49</v>
      </c>
      <c r="L21" s="334">
        <v>320067.49</v>
      </c>
      <c r="M21" s="334"/>
      <c r="N21" s="334">
        <v>310881.28000000003</v>
      </c>
      <c r="O21" s="232"/>
      <c r="P21" s="232"/>
      <c r="Q21" s="232"/>
      <c r="R21" s="232"/>
      <c r="S21" s="232"/>
      <c r="T21" s="232"/>
    </row>
    <row r="22" spans="1:20">
      <c r="A22" s="173">
        <v>300</v>
      </c>
      <c r="B22" s="325">
        <v>100</v>
      </c>
      <c r="C22" s="326">
        <v>300</v>
      </c>
      <c r="D22" s="326">
        <v>200</v>
      </c>
      <c r="E22" s="326">
        <v>0</v>
      </c>
      <c r="F22" s="326">
        <v>0</v>
      </c>
      <c r="G22" s="330" t="s">
        <v>2354</v>
      </c>
      <c r="H22" s="330" t="s">
        <v>568</v>
      </c>
      <c r="I22" s="326" t="s">
        <v>569</v>
      </c>
      <c r="J22" s="326"/>
      <c r="K22" s="334">
        <f t="shared" si="0"/>
        <v>242944</v>
      </c>
      <c r="L22" s="334">
        <v>242944</v>
      </c>
      <c r="M22" s="334"/>
      <c r="N22" s="334">
        <v>353496</v>
      </c>
      <c r="O22" s="232"/>
      <c r="P22" s="232"/>
      <c r="Q22" s="232"/>
      <c r="R22" s="232"/>
      <c r="S22" s="232"/>
      <c r="T22" s="232"/>
    </row>
    <row r="23" spans="1:20" ht="25.5">
      <c r="A23" s="173">
        <v>300</v>
      </c>
      <c r="B23" s="325">
        <v>100</v>
      </c>
      <c r="C23" s="326">
        <v>300</v>
      </c>
      <c r="D23" s="326">
        <v>201</v>
      </c>
      <c r="E23" s="326">
        <v>0</v>
      </c>
      <c r="F23" s="326">
        <v>0</v>
      </c>
      <c r="G23" s="330" t="s">
        <v>2226</v>
      </c>
      <c r="H23" s="330" t="s">
        <v>2227</v>
      </c>
      <c r="I23" s="326" t="s">
        <v>569</v>
      </c>
      <c r="J23" s="326"/>
      <c r="K23" s="334">
        <f t="shared" si="0"/>
        <v>0</v>
      </c>
      <c r="L23" s="334">
        <v>0</v>
      </c>
      <c r="M23" s="334"/>
      <c r="N23" s="334">
        <v>0</v>
      </c>
      <c r="O23" s="232"/>
      <c r="P23" s="232"/>
      <c r="Q23" s="232"/>
      <c r="R23" s="232"/>
      <c r="S23" s="232"/>
      <c r="T23" s="232"/>
    </row>
    <row r="24" spans="1:20">
      <c r="A24" s="173">
        <v>300</v>
      </c>
      <c r="B24" s="325">
        <v>100</v>
      </c>
      <c r="C24" s="326">
        <v>300</v>
      </c>
      <c r="D24" s="326">
        <v>300</v>
      </c>
      <c r="E24" s="326">
        <v>0</v>
      </c>
      <c r="F24" s="326">
        <v>0</v>
      </c>
      <c r="G24" s="330" t="s">
        <v>2355</v>
      </c>
      <c r="H24" s="330" t="s">
        <v>570</v>
      </c>
      <c r="I24" s="326" t="s">
        <v>571</v>
      </c>
      <c r="J24" s="326"/>
      <c r="K24" s="334">
        <f t="shared" si="0"/>
        <v>3574819.38</v>
      </c>
      <c r="L24" s="334">
        <v>3574819.38</v>
      </c>
      <c r="M24" s="334"/>
      <c r="N24" s="334">
        <v>4098202.24</v>
      </c>
      <c r="O24" s="232"/>
      <c r="P24" s="232"/>
      <c r="Q24" s="232"/>
      <c r="R24" s="232"/>
      <c r="S24" s="232"/>
      <c r="T24" s="232"/>
    </row>
    <row r="25" spans="1:20" ht="25.5">
      <c r="A25" s="173">
        <v>300</v>
      </c>
      <c r="B25" s="325">
        <v>100</v>
      </c>
      <c r="C25" s="326">
        <v>300</v>
      </c>
      <c r="D25" s="326">
        <v>301</v>
      </c>
      <c r="E25" s="326">
        <v>0</v>
      </c>
      <c r="F25" s="326">
        <v>0</v>
      </c>
      <c r="G25" s="330" t="s">
        <v>2228</v>
      </c>
      <c r="H25" s="330" t="s">
        <v>2229</v>
      </c>
      <c r="I25" s="326" t="s">
        <v>571</v>
      </c>
      <c r="J25" s="326"/>
      <c r="K25" s="334">
        <f t="shared" si="0"/>
        <v>8939.83</v>
      </c>
      <c r="L25" s="334">
        <v>8939.83</v>
      </c>
      <c r="M25" s="334"/>
      <c r="N25" s="334">
        <v>5512.58</v>
      </c>
      <c r="O25" s="232"/>
      <c r="P25" s="232"/>
      <c r="Q25" s="232"/>
      <c r="R25" s="232"/>
      <c r="S25" s="232"/>
      <c r="T25" s="232"/>
    </row>
    <row r="26" spans="1:20">
      <c r="A26" s="173">
        <v>300</v>
      </c>
      <c r="B26" s="325">
        <v>100</v>
      </c>
      <c r="C26" s="326">
        <v>400</v>
      </c>
      <c r="D26" s="326">
        <v>0</v>
      </c>
      <c r="E26" s="326">
        <v>0</v>
      </c>
      <c r="F26" s="326">
        <v>0</v>
      </c>
      <c r="G26" s="330" t="s">
        <v>2356</v>
      </c>
      <c r="H26" s="330" t="s">
        <v>572</v>
      </c>
      <c r="I26" s="326" t="s">
        <v>573</v>
      </c>
      <c r="J26" s="326"/>
      <c r="K26" s="334">
        <f t="shared" si="0"/>
        <v>1194.96</v>
      </c>
      <c r="L26" s="334">
        <v>1194.96</v>
      </c>
      <c r="M26" s="334"/>
      <c r="N26" s="334">
        <v>1804.59</v>
      </c>
      <c r="O26" s="232"/>
      <c r="P26" s="232"/>
      <c r="Q26" s="232"/>
      <c r="R26" s="232"/>
      <c r="S26" s="232"/>
      <c r="T26" s="232"/>
    </row>
    <row r="27" spans="1:20" ht="25.5">
      <c r="A27" s="173">
        <v>300</v>
      </c>
      <c r="B27" s="325">
        <v>100</v>
      </c>
      <c r="C27" s="326">
        <v>401</v>
      </c>
      <c r="D27" s="326">
        <v>0</v>
      </c>
      <c r="E27" s="326">
        <v>0</v>
      </c>
      <c r="F27" s="326">
        <v>0</v>
      </c>
      <c r="G27" s="330" t="s">
        <v>2230</v>
      </c>
      <c r="H27" s="330" t="s">
        <v>2231</v>
      </c>
      <c r="I27" s="326" t="s">
        <v>573</v>
      </c>
      <c r="J27" s="326"/>
      <c r="K27" s="334">
        <f t="shared" si="0"/>
        <v>1256.6300000000001</v>
      </c>
      <c r="L27" s="334">
        <v>1256.6300000000001</v>
      </c>
      <c r="M27" s="334"/>
      <c r="N27" s="334">
        <v>1307.42</v>
      </c>
      <c r="O27" s="232"/>
      <c r="P27" s="232"/>
      <c r="Q27" s="232"/>
      <c r="R27" s="232"/>
      <c r="S27" s="232"/>
      <c r="T27" s="232"/>
    </row>
    <row r="28" spans="1:20">
      <c r="A28" s="173">
        <v>300</v>
      </c>
      <c r="B28" s="325">
        <v>100</v>
      </c>
      <c r="C28" s="326">
        <v>500</v>
      </c>
      <c r="D28" s="326">
        <v>0</v>
      </c>
      <c r="E28" s="326">
        <v>0</v>
      </c>
      <c r="F28" s="326">
        <v>0</v>
      </c>
      <c r="G28" s="330" t="s">
        <v>2357</v>
      </c>
      <c r="H28" s="330" t="s">
        <v>574</v>
      </c>
      <c r="I28" s="326" t="s">
        <v>575</v>
      </c>
      <c r="J28" s="326"/>
      <c r="K28" s="334">
        <f t="shared" si="0"/>
        <v>0</v>
      </c>
      <c r="L28" s="334">
        <v>0</v>
      </c>
      <c r="M28" s="334"/>
      <c r="N28" s="334">
        <v>0</v>
      </c>
      <c r="O28" s="232"/>
      <c r="P28" s="232"/>
      <c r="Q28" s="232"/>
      <c r="R28" s="232"/>
      <c r="S28" s="232"/>
      <c r="T28" s="232"/>
    </row>
    <row r="29" spans="1:20" ht="25.5">
      <c r="A29" s="173">
        <v>300</v>
      </c>
      <c r="B29" s="325">
        <v>100</v>
      </c>
      <c r="C29" s="326">
        <v>501</v>
      </c>
      <c r="D29" s="326">
        <v>0</v>
      </c>
      <c r="E29" s="326">
        <v>0</v>
      </c>
      <c r="F29" s="326">
        <v>0</v>
      </c>
      <c r="G29" s="330" t="s">
        <v>2232</v>
      </c>
      <c r="H29" s="330" t="s">
        <v>2233</v>
      </c>
      <c r="I29" s="326" t="s">
        <v>575</v>
      </c>
      <c r="J29" s="326"/>
      <c r="K29" s="334">
        <f t="shared" si="0"/>
        <v>1169.93</v>
      </c>
      <c r="L29" s="334">
        <v>1169.93</v>
      </c>
      <c r="M29" s="334"/>
      <c r="N29" s="334">
        <v>333.49</v>
      </c>
      <c r="O29" s="232"/>
      <c r="P29" s="232"/>
      <c r="Q29" s="232"/>
      <c r="R29" s="232"/>
      <c r="S29" s="232"/>
      <c r="T29" s="232"/>
    </row>
    <row r="30" spans="1:20">
      <c r="A30" s="173">
        <v>300</v>
      </c>
      <c r="B30" s="325">
        <v>100</v>
      </c>
      <c r="C30" s="326">
        <v>600</v>
      </c>
      <c r="D30" s="326">
        <v>0</v>
      </c>
      <c r="E30" s="326">
        <v>0</v>
      </c>
      <c r="F30" s="326">
        <v>0</v>
      </c>
      <c r="G30" s="330" t="s">
        <v>2358</v>
      </c>
      <c r="H30" s="330" t="s">
        <v>576</v>
      </c>
      <c r="I30" s="326" t="s">
        <v>577</v>
      </c>
      <c r="J30" s="326"/>
      <c r="K30" s="334">
        <f t="shared" si="0"/>
        <v>52453.16</v>
      </c>
      <c r="L30" s="334">
        <v>52453.16</v>
      </c>
      <c r="M30" s="334"/>
      <c r="N30" s="334">
        <v>45057.06</v>
      </c>
      <c r="O30" s="232"/>
      <c r="P30" s="232"/>
      <c r="Q30" s="232"/>
      <c r="R30" s="232"/>
      <c r="S30" s="232"/>
      <c r="T30" s="232"/>
    </row>
    <row r="31" spans="1:20" ht="25.5">
      <c r="A31" s="173">
        <v>300</v>
      </c>
      <c r="B31" s="325">
        <v>100</v>
      </c>
      <c r="C31" s="326">
        <v>601</v>
      </c>
      <c r="D31" s="326">
        <v>0</v>
      </c>
      <c r="E31" s="326">
        <v>0</v>
      </c>
      <c r="F31" s="326">
        <v>0</v>
      </c>
      <c r="G31" s="330" t="s">
        <v>2234</v>
      </c>
      <c r="H31" s="330" t="s">
        <v>2235</v>
      </c>
      <c r="I31" s="326" t="s">
        <v>577</v>
      </c>
      <c r="J31" s="326"/>
      <c r="K31" s="334">
        <f t="shared" si="0"/>
        <v>0</v>
      </c>
      <c r="L31" s="334">
        <v>0</v>
      </c>
      <c r="M31" s="334"/>
      <c r="N31" s="334">
        <v>0</v>
      </c>
      <c r="O31" s="232"/>
      <c r="P31" s="232"/>
      <c r="Q31" s="232"/>
      <c r="R31" s="232"/>
      <c r="S31" s="232"/>
      <c r="T31" s="232"/>
    </row>
    <row r="32" spans="1:20">
      <c r="A32" s="173">
        <v>300</v>
      </c>
      <c r="B32" s="325">
        <v>100</v>
      </c>
      <c r="C32" s="326">
        <v>700</v>
      </c>
      <c r="D32" s="326">
        <v>0</v>
      </c>
      <c r="E32" s="326">
        <v>0</v>
      </c>
      <c r="F32" s="326">
        <v>0</v>
      </c>
      <c r="G32" s="330" t="s">
        <v>2359</v>
      </c>
      <c r="H32" s="330" t="s">
        <v>578</v>
      </c>
      <c r="I32" s="326" t="s">
        <v>579</v>
      </c>
      <c r="J32" s="326"/>
      <c r="K32" s="334">
        <f t="shared" si="0"/>
        <v>0</v>
      </c>
      <c r="L32" s="334">
        <v>0</v>
      </c>
      <c r="M32" s="334"/>
      <c r="N32" s="334">
        <v>0</v>
      </c>
      <c r="O32" s="232"/>
      <c r="P32" s="232"/>
      <c r="Q32" s="232"/>
      <c r="R32" s="232"/>
      <c r="S32" s="232"/>
      <c r="T32" s="232"/>
    </row>
    <row r="33" spans="1:20" ht="25.5">
      <c r="A33" s="173">
        <v>300</v>
      </c>
      <c r="B33" s="325">
        <v>100</v>
      </c>
      <c r="C33" s="326">
        <v>701</v>
      </c>
      <c r="D33" s="326">
        <v>0</v>
      </c>
      <c r="E33" s="326">
        <v>0</v>
      </c>
      <c r="F33" s="326">
        <v>0</v>
      </c>
      <c r="G33" s="330" t="s">
        <v>2236</v>
      </c>
      <c r="H33" s="330" t="s">
        <v>2237</v>
      </c>
      <c r="I33" s="326" t="s">
        <v>579</v>
      </c>
      <c r="J33" s="326"/>
      <c r="K33" s="334">
        <f t="shared" si="0"/>
        <v>0</v>
      </c>
      <c r="L33" s="334">
        <v>0</v>
      </c>
      <c r="M33" s="334"/>
      <c r="N33" s="334">
        <v>0</v>
      </c>
      <c r="O33" s="232"/>
      <c r="P33" s="232"/>
      <c r="Q33" s="232"/>
      <c r="R33" s="232"/>
      <c r="S33" s="232"/>
      <c r="T33" s="232"/>
    </row>
    <row r="34" spans="1:20">
      <c r="A34" s="173">
        <v>300</v>
      </c>
      <c r="B34" s="325">
        <v>100</v>
      </c>
      <c r="C34" s="326">
        <v>800</v>
      </c>
      <c r="D34" s="326">
        <v>0</v>
      </c>
      <c r="E34" s="326">
        <v>0</v>
      </c>
      <c r="F34" s="326">
        <v>0</v>
      </c>
      <c r="G34" s="330" t="s">
        <v>2360</v>
      </c>
      <c r="H34" s="330" t="s">
        <v>580</v>
      </c>
      <c r="I34" s="326" t="s">
        <v>581</v>
      </c>
      <c r="J34" s="326"/>
      <c r="K34" s="334">
        <f t="shared" si="0"/>
        <v>713399.33</v>
      </c>
      <c r="L34" s="334">
        <v>713399.33</v>
      </c>
      <c r="M34" s="334"/>
      <c r="N34" s="334">
        <v>398407.2</v>
      </c>
      <c r="O34" s="232"/>
      <c r="P34" s="232"/>
      <c r="Q34" s="232"/>
      <c r="R34" s="232"/>
      <c r="S34" s="232"/>
      <c r="T34" s="232"/>
    </row>
    <row r="35" spans="1:20" ht="25.5">
      <c r="A35" s="173">
        <v>300</v>
      </c>
      <c r="B35" s="325">
        <v>100</v>
      </c>
      <c r="C35" s="326">
        <v>801</v>
      </c>
      <c r="D35" s="326">
        <v>0</v>
      </c>
      <c r="E35" s="326">
        <v>0</v>
      </c>
      <c r="F35" s="326">
        <v>0</v>
      </c>
      <c r="G35" s="330" t="s">
        <v>2238</v>
      </c>
      <c r="H35" s="330" t="s">
        <v>2239</v>
      </c>
      <c r="I35" s="326" t="s">
        <v>581</v>
      </c>
      <c r="J35" s="325"/>
      <c r="K35" s="336">
        <f t="shared" si="0"/>
        <v>10897.45</v>
      </c>
      <c r="L35" s="336">
        <v>10897.45</v>
      </c>
      <c r="M35" s="336"/>
      <c r="N35" s="336">
        <v>24972.26</v>
      </c>
      <c r="O35" s="232"/>
      <c r="P35" s="232"/>
      <c r="Q35" s="232"/>
      <c r="R35" s="232"/>
      <c r="S35" s="232"/>
      <c r="T35" s="232"/>
    </row>
    <row r="36" spans="1:20" ht="25.5">
      <c r="A36" s="173">
        <v>300</v>
      </c>
      <c r="B36" s="325">
        <v>100</v>
      </c>
      <c r="C36" s="326">
        <v>900</v>
      </c>
      <c r="D36" s="326">
        <v>0</v>
      </c>
      <c r="E36" s="326">
        <v>0</v>
      </c>
      <c r="F36" s="326">
        <v>0</v>
      </c>
      <c r="G36" s="331" t="s">
        <v>2240</v>
      </c>
      <c r="H36" s="331" t="s">
        <v>582</v>
      </c>
      <c r="I36" s="326" t="s">
        <v>583</v>
      </c>
      <c r="J36" s="325" t="s">
        <v>1530</v>
      </c>
      <c r="K36" s="335">
        <f t="shared" si="0"/>
        <v>0</v>
      </c>
      <c r="L36" s="335">
        <v>0</v>
      </c>
      <c r="M36" s="335"/>
      <c r="N36" s="335">
        <v>0</v>
      </c>
      <c r="O36" s="232"/>
      <c r="P36" s="232"/>
      <c r="Q36" s="232"/>
      <c r="R36" s="232"/>
      <c r="S36" s="232"/>
      <c r="T36" s="232"/>
    </row>
    <row r="37" spans="1:20" ht="25.5">
      <c r="A37" s="173">
        <v>300</v>
      </c>
      <c r="B37" s="325">
        <v>100</v>
      </c>
      <c r="C37" s="326">
        <v>900</v>
      </c>
      <c r="D37" s="326">
        <v>50</v>
      </c>
      <c r="E37" s="326">
        <v>0</v>
      </c>
      <c r="F37" s="326">
        <v>0</v>
      </c>
      <c r="G37" s="330" t="s">
        <v>2361</v>
      </c>
      <c r="H37" s="330" t="s">
        <v>541</v>
      </c>
      <c r="I37" s="326" t="s">
        <v>584</v>
      </c>
      <c r="J37" s="326" t="s">
        <v>1530</v>
      </c>
      <c r="K37" s="334">
        <f t="shared" si="0"/>
        <v>3028017.16</v>
      </c>
      <c r="L37" s="334">
        <v>3028017.16</v>
      </c>
      <c r="M37" s="334"/>
      <c r="N37" s="334">
        <v>2870685.4</v>
      </c>
      <c r="O37" s="232"/>
      <c r="P37" s="232"/>
      <c r="Q37" s="232"/>
      <c r="R37" s="232"/>
      <c r="S37" s="232"/>
      <c r="T37" s="232"/>
    </row>
    <row r="38" spans="1:20">
      <c r="A38" s="173">
        <v>300</v>
      </c>
      <c r="B38" s="325">
        <v>100</v>
      </c>
      <c r="C38" s="326">
        <v>900</v>
      </c>
      <c r="D38" s="326">
        <v>100</v>
      </c>
      <c r="E38" s="326">
        <v>0</v>
      </c>
      <c r="F38" s="326">
        <v>0</v>
      </c>
      <c r="G38" s="330" t="s">
        <v>2362</v>
      </c>
      <c r="H38" s="330" t="s">
        <v>544</v>
      </c>
      <c r="I38" s="326" t="s">
        <v>584</v>
      </c>
      <c r="J38" s="326" t="s">
        <v>1530</v>
      </c>
      <c r="K38" s="334">
        <f t="shared" si="0"/>
        <v>123343.75</v>
      </c>
      <c r="L38" s="334">
        <v>123343.75</v>
      </c>
      <c r="M38" s="334"/>
      <c r="N38" s="334">
        <v>150576.75</v>
      </c>
      <c r="O38" s="232"/>
      <c r="P38" s="232"/>
      <c r="Q38" s="232"/>
      <c r="R38" s="232"/>
      <c r="S38" s="232"/>
      <c r="T38" s="232"/>
    </row>
    <row r="39" spans="1:20">
      <c r="A39" s="173">
        <v>300</v>
      </c>
      <c r="B39" s="325">
        <v>100</v>
      </c>
      <c r="C39" s="326">
        <v>900</v>
      </c>
      <c r="D39" s="326">
        <v>150</v>
      </c>
      <c r="E39" s="326">
        <v>0</v>
      </c>
      <c r="F39" s="326">
        <v>0</v>
      </c>
      <c r="G39" s="330" t="s">
        <v>2363</v>
      </c>
      <c r="H39" s="330" t="s">
        <v>548</v>
      </c>
      <c r="I39" s="326" t="s">
        <v>584</v>
      </c>
      <c r="J39" s="325" t="s">
        <v>1530</v>
      </c>
      <c r="K39" s="336">
        <f t="shared" si="0"/>
        <v>0</v>
      </c>
      <c r="L39" s="336">
        <v>0</v>
      </c>
      <c r="M39" s="336"/>
      <c r="N39" s="336">
        <v>0</v>
      </c>
      <c r="O39" s="232"/>
      <c r="P39" s="232"/>
      <c r="Q39" s="232"/>
      <c r="R39" s="232"/>
      <c r="S39" s="232"/>
      <c r="T39" s="232"/>
    </row>
    <row r="40" spans="1:20">
      <c r="A40" s="173">
        <v>300</v>
      </c>
      <c r="B40" s="325">
        <v>100</v>
      </c>
      <c r="C40" s="326">
        <v>900</v>
      </c>
      <c r="D40" s="326">
        <v>200</v>
      </c>
      <c r="E40" s="326">
        <v>0</v>
      </c>
      <c r="F40" s="326">
        <v>0</v>
      </c>
      <c r="G40" s="330" t="s">
        <v>2364</v>
      </c>
      <c r="H40" s="330" t="s">
        <v>566</v>
      </c>
      <c r="I40" s="326" t="s">
        <v>585</v>
      </c>
      <c r="J40" s="326" t="s">
        <v>1530</v>
      </c>
      <c r="K40" s="334">
        <f t="shared" si="0"/>
        <v>1598890.15</v>
      </c>
      <c r="L40" s="334">
        <v>1598890.15</v>
      </c>
      <c r="M40" s="334"/>
      <c r="N40" s="334">
        <v>1634089.99</v>
      </c>
      <c r="O40" s="232"/>
      <c r="P40" s="232"/>
      <c r="Q40" s="232"/>
      <c r="R40" s="232"/>
      <c r="S40" s="232"/>
      <c r="T40" s="232"/>
    </row>
    <row r="41" spans="1:20">
      <c r="A41" s="173">
        <v>300</v>
      </c>
      <c r="B41" s="325">
        <v>100</v>
      </c>
      <c r="C41" s="326">
        <v>900</v>
      </c>
      <c r="D41" s="326">
        <v>250</v>
      </c>
      <c r="E41" s="326">
        <v>0</v>
      </c>
      <c r="F41" s="326">
        <v>0</v>
      </c>
      <c r="G41" s="330" t="s">
        <v>2365</v>
      </c>
      <c r="H41" s="330" t="s">
        <v>568</v>
      </c>
      <c r="I41" s="326" t="s">
        <v>585</v>
      </c>
      <c r="J41" s="326" t="s">
        <v>1530</v>
      </c>
      <c r="K41" s="334">
        <f t="shared" si="0"/>
        <v>0</v>
      </c>
      <c r="L41" s="334">
        <v>0</v>
      </c>
      <c r="M41" s="334"/>
      <c r="N41" s="334">
        <v>0</v>
      </c>
      <c r="O41" s="232"/>
      <c r="P41" s="232"/>
      <c r="Q41" s="232"/>
      <c r="R41" s="232"/>
      <c r="S41" s="232"/>
      <c r="T41" s="232"/>
    </row>
    <row r="42" spans="1:20">
      <c r="A42" s="173">
        <v>300</v>
      </c>
      <c r="B42" s="325">
        <v>100</v>
      </c>
      <c r="C42" s="326">
        <v>900</v>
      </c>
      <c r="D42" s="326">
        <v>300</v>
      </c>
      <c r="E42" s="326">
        <v>0</v>
      </c>
      <c r="F42" s="326">
        <v>0</v>
      </c>
      <c r="G42" s="330" t="s">
        <v>2366</v>
      </c>
      <c r="H42" s="330" t="s">
        <v>570</v>
      </c>
      <c r="I42" s="326" t="s">
        <v>585</v>
      </c>
      <c r="J42" s="326" t="s">
        <v>1530</v>
      </c>
      <c r="K42" s="334">
        <f t="shared" si="0"/>
        <v>42808.25</v>
      </c>
      <c r="L42" s="334">
        <v>42808.25</v>
      </c>
      <c r="M42" s="334"/>
      <c r="N42" s="334">
        <v>39198.61</v>
      </c>
      <c r="O42" s="232"/>
      <c r="P42" s="232"/>
      <c r="Q42" s="232"/>
      <c r="R42" s="232"/>
      <c r="S42" s="232"/>
      <c r="T42" s="232"/>
    </row>
    <row r="43" spans="1:20">
      <c r="A43" s="173">
        <v>300</v>
      </c>
      <c r="B43" s="325">
        <v>100</v>
      </c>
      <c r="C43" s="326">
        <v>900</v>
      </c>
      <c r="D43" s="326">
        <v>350</v>
      </c>
      <c r="E43" s="326">
        <v>0</v>
      </c>
      <c r="F43" s="326">
        <v>0</v>
      </c>
      <c r="G43" s="330" t="s">
        <v>2367</v>
      </c>
      <c r="H43" s="330" t="s">
        <v>572</v>
      </c>
      <c r="I43" s="326" t="s">
        <v>586</v>
      </c>
      <c r="J43" s="326" t="s">
        <v>1530</v>
      </c>
      <c r="K43" s="334">
        <f t="shared" si="0"/>
        <v>12327.81</v>
      </c>
      <c r="L43" s="334">
        <v>12327.81</v>
      </c>
      <c r="M43" s="334"/>
      <c r="N43" s="334">
        <v>14767.4</v>
      </c>
      <c r="O43" s="232"/>
      <c r="P43" s="232"/>
      <c r="Q43" s="232"/>
      <c r="R43" s="232"/>
      <c r="S43" s="232"/>
      <c r="T43" s="232"/>
    </row>
    <row r="44" spans="1:20">
      <c r="A44" s="173">
        <v>300</v>
      </c>
      <c r="B44" s="325">
        <v>100</v>
      </c>
      <c r="C44" s="326">
        <v>900</v>
      </c>
      <c r="D44" s="326">
        <v>400</v>
      </c>
      <c r="E44" s="326">
        <v>0</v>
      </c>
      <c r="F44" s="326">
        <v>0</v>
      </c>
      <c r="G44" s="330" t="s">
        <v>2368</v>
      </c>
      <c r="H44" s="330" t="s">
        <v>574</v>
      </c>
      <c r="I44" s="326" t="s">
        <v>587</v>
      </c>
      <c r="J44" s="326" t="s">
        <v>1530</v>
      </c>
      <c r="K44" s="334">
        <f t="shared" si="0"/>
        <v>11697.9</v>
      </c>
      <c r="L44" s="334">
        <v>11697.9</v>
      </c>
      <c r="M44" s="334"/>
      <c r="N44" s="334">
        <v>15634.62</v>
      </c>
      <c r="O44" s="232"/>
      <c r="P44" s="232"/>
      <c r="Q44" s="232"/>
      <c r="R44" s="232"/>
      <c r="S44" s="232"/>
      <c r="T44" s="232"/>
    </row>
    <row r="45" spans="1:20">
      <c r="A45" s="173">
        <v>300</v>
      </c>
      <c r="B45" s="325">
        <v>100</v>
      </c>
      <c r="C45" s="326">
        <v>900</v>
      </c>
      <c r="D45" s="326">
        <v>450</v>
      </c>
      <c r="E45" s="326">
        <v>0</v>
      </c>
      <c r="F45" s="326">
        <v>0</v>
      </c>
      <c r="G45" s="330" t="s">
        <v>2369</v>
      </c>
      <c r="H45" s="330" t="s">
        <v>576</v>
      </c>
      <c r="I45" s="326" t="s">
        <v>588</v>
      </c>
      <c r="J45" s="326" t="s">
        <v>1530</v>
      </c>
      <c r="K45" s="334">
        <f t="shared" si="0"/>
        <v>0</v>
      </c>
      <c r="L45" s="334">
        <v>0</v>
      </c>
      <c r="M45" s="334"/>
      <c r="N45" s="334">
        <v>2373</v>
      </c>
      <c r="O45" s="232"/>
      <c r="P45" s="232"/>
      <c r="Q45" s="232"/>
      <c r="R45" s="232"/>
      <c r="S45" s="232"/>
      <c r="T45" s="232"/>
    </row>
    <row r="46" spans="1:20">
      <c r="A46" s="173">
        <v>300</v>
      </c>
      <c r="B46" s="325">
        <v>100</v>
      </c>
      <c r="C46" s="326">
        <v>900</v>
      </c>
      <c r="D46" s="326">
        <v>500</v>
      </c>
      <c r="E46" s="326">
        <v>0</v>
      </c>
      <c r="F46" s="326">
        <v>0</v>
      </c>
      <c r="G46" s="330" t="s">
        <v>2370</v>
      </c>
      <c r="H46" s="330" t="s">
        <v>578</v>
      </c>
      <c r="I46" s="326" t="s">
        <v>589</v>
      </c>
      <c r="J46" s="326" t="s">
        <v>1530</v>
      </c>
      <c r="K46" s="334">
        <f t="shared" si="0"/>
        <v>0</v>
      </c>
      <c r="L46" s="334">
        <v>0</v>
      </c>
      <c r="M46" s="334"/>
      <c r="N46" s="334">
        <v>0</v>
      </c>
      <c r="O46" s="232"/>
      <c r="P46" s="232"/>
      <c r="Q46" s="232"/>
      <c r="R46" s="232"/>
      <c r="S46" s="232"/>
      <c r="T46" s="232"/>
    </row>
    <row r="47" spans="1:20">
      <c r="A47" s="174">
        <v>300</v>
      </c>
      <c r="B47" s="326">
        <v>100</v>
      </c>
      <c r="C47" s="326">
        <v>900</v>
      </c>
      <c r="D47" s="326">
        <v>900</v>
      </c>
      <c r="E47" s="326">
        <v>0</v>
      </c>
      <c r="F47" s="326">
        <v>0</v>
      </c>
      <c r="G47" s="330" t="s">
        <v>2371</v>
      </c>
      <c r="H47" s="330" t="s">
        <v>590</v>
      </c>
      <c r="I47" s="326" t="s">
        <v>591</v>
      </c>
      <c r="J47" s="325" t="s">
        <v>1530</v>
      </c>
      <c r="K47" s="336">
        <f t="shared" si="0"/>
        <v>49799.75</v>
      </c>
      <c r="L47" s="336">
        <v>49799.75</v>
      </c>
      <c r="M47" s="336"/>
      <c r="N47" s="336">
        <v>55851.91</v>
      </c>
      <c r="O47" s="232"/>
      <c r="P47" s="232"/>
      <c r="Q47" s="232"/>
      <c r="R47" s="232"/>
      <c r="S47" s="232"/>
      <c r="T47" s="232"/>
    </row>
    <row r="48" spans="1:20">
      <c r="A48" s="173">
        <v>300</v>
      </c>
      <c r="B48" s="325">
        <v>200</v>
      </c>
      <c r="C48" s="326">
        <v>0</v>
      </c>
      <c r="D48" s="326">
        <v>0</v>
      </c>
      <c r="E48" s="326">
        <v>0</v>
      </c>
      <c r="F48" s="326">
        <v>0</v>
      </c>
      <c r="G48" s="337" t="s">
        <v>2372</v>
      </c>
      <c r="H48" s="337" t="s">
        <v>592</v>
      </c>
      <c r="I48" s="326" t="s">
        <v>593</v>
      </c>
      <c r="J48" s="325"/>
      <c r="K48" s="335">
        <f t="shared" si="0"/>
        <v>0</v>
      </c>
      <c r="L48" s="335">
        <v>0</v>
      </c>
      <c r="M48" s="335"/>
      <c r="N48" s="335">
        <v>0</v>
      </c>
      <c r="O48" s="232"/>
      <c r="P48" s="232"/>
      <c r="Q48" s="232"/>
      <c r="R48" s="232"/>
      <c r="S48" s="232"/>
      <c r="T48" s="232"/>
    </row>
    <row r="49" spans="1:20">
      <c r="A49" s="173">
        <v>300</v>
      </c>
      <c r="B49" s="325">
        <v>200</v>
      </c>
      <c r="C49" s="326">
        <v>100</v>
      </c>
      <c r="D49" s="326">
        <v>0</v>
      </c>
      <c r="E49" s="326">
        <v>0</v>
      </c>
      <c r="F49" s="326">
        <v>0</v>
      </c>
      <c r="G49" s="330" t="s">
        <v>2373</v>
      </c>
      <c r="H49" s="330" t="s">
        <v>594</v>
      </c>
      <c r="I49" s="326" t="s">
        <v>595</v>
      </c>
      <c r="J49" s="326"/>
      <c r="K49" s="334">
        <f t="shared" si="0"/>
        <v>3579.65</v>
      </c>
      <c r="L49" s="334">
        <v>3579.65</v>
      </c>
      <c r="M49" s="334"/>
      <c r="N49" s="334">
        <v>4416.28</v>
      </c>
      <c r="O49" s="232"/>
      <c r="P49" s="232"/>
      <c r="Q49" s="232"/>
      <c r="R49" s="232"/>
      <c r="S49" s="232"/>
      <c r="T49" s="232"/>
    </row>
    <row r="50" spans="1:20" ht="25.5">
      <c r="A50" s="173">
        <v>300</v>
      </c>
      <c r="B50" s="325">
        <v>200</v>
      </c>
      <c r="C50" s="326">
        <v>101</v>
      </c>
      <c r="D50" s="326">
        <v>0</v>
      </c>
      <c r="E50" s="326">
        <v>0</v>
      </c>
      <c r="F50" s="326">
        <v>0</v>
      </c>
      <c r="G50" s="330" t="s">
        <v>2241</v>
      </c>
      <c r="H50" s="330" t="s">
        <v>2242</v>
      </c>
      <c r="I50" s="326" t="s">
        <v>595</v>
      </c>
      <c r="J50" s="326"/>
      <c r="K50" s="334">
        <f t="shared" si="0"/>
        <v>2368.08</v>
      </c>
      <c r="L50" s="334">
        <v>2368.08</v>
      </c>
      <c r="M50" s="334"/>
      <c r="N50" s="334">
        <v>2252.11</v>
      </c>
      <c r="O50" s="232"/>
      <c r="P50" s="232"/>
      <c r="Q50" s="232"/>
      <c r="R50" s="232"/>
      <c r="S50" s="232"/>
      <c r="T50" s="232"/>
    </row>
    <row r="51" spans="1:20" ht="25.5">
      <c r="A51" s="173">
        <v>300</v>
      </c>
      <c r="B51" s="325">
        <v>200</v>
      </c>
      <c r="C51" s="326">
        <v>200</v>
      </c>
      <c r="D51" s="326">
        <v>0</v>
      </c>
      <c r="E51" s="326">
        <v>0</v>
      </c>
      <c r="F51" s="326">
        <v>0</v>
      </c>
      <c r="G51" s="330" t="s">
        <v>2374</v>
      </c>
      <c r="H51" s="330" t="s">
        <v>596</v>
      </c>
      <c r="I51" s="326" t="s">
        <v>597</v>
      </c>
      <c r="J51" s="326"/>
      <c r="K51" s="334">
        <f t="shared" si="0"/>
        <v>17530.03</v>
      </c>
      <c r="L51" s="334">
        <v>17530.03</v>
      </c>
      <c r="M51" s="334"/>
      <c r="N51" s="334">
        <v>7736.57</v>
      </c>
      <c r="O51" s="232"/>
      <c r="P51" s="232"/>
      <c r="Q51" s="232"/>
      <c r="R51" s="232"/>
      <c r="S51" s="232"/>
      <c r="T51" s="232"/>
    </row>
    <row r="52" spans="1:20" ht="25.5">
      <c r="A52" s="173">
        <v>300</v>
      </c>
      <c r="B52" s="325">
        <v>200</v>
      </c>
      <c r="C52" s="326">
        <v>201</v>
      </c>
      <c r="D52" s="326">
        <v>0</v>
      </c>
      <c r="E52" s="326">
        <v>0</v>
      </c>
      <c r="F52" s="326">
        <v>0</v>
      </c>
      <c r="G52" s="330" t="s">
        <v>2243</v>
      </c>
      <c r="H52" s="330" t="s">
        <v>2244</v>
      </c>
      <c r="I52" s="326" t="s">
        <v>597</v>
      </c>
      <c r="J52" s="326"/>
      <c r="K52" s="334">
        <f t="shared" si="0"/>
        <v>16606.05</v>
      </c>
      <c r="L52" s="334">
        <v>16606.05</v>
      </c>
      <c r="M52" s="334"/>
      <c r="N52" s="334">
        <v>23365.42</v>
      </c>
      <c r="O52" s="232"/>
      <c r="P52" s="232"/>
      <c r="Q52" s="232"/>
      <c r="R52" s="232"/>
      <c r="S52" s="232"/>
      <c r="T52" s="232"/>
    </row>
    <row r="53" spans="1:20">
      <c r="A53" s="173">
        <v>300</v>
      </c>
      <c r="B53" s="325">
        <v>200</v>
      </c>
      <c r="C53" s="326">
        <v>300</v>
      </c>
      <c r="D53" s="326">
        <v>0</v>
      </c>
      <c r="E53" s="326">
        <v>0</v>
      </c>
      <c r="F53" s="326">
        <v>0</v>
      </c>
      <c r="G53" s="330" t="s">
        <v>2375</v>
      </c>
      <c r="H53" s="330" t="s">
        <v>598</v>
      </c>
      <c r="I53" s="326" t="s">
        <v>599</v>
      </c>
      <c r="J53" s="326"/>
      <c r="K53" s="334">
        <f t="shared" si="0"/>
        <v>7621.03</v>
      </c>
      <c r="L53" s="334">
        <v>7621.03</v>
      </c>
      <c r="M53" s="334"/>
      <c r="N53" s="334">
        <v>9072.25</v>
      </c>
      <c r="O53" s="232"/>
      <c r="P53" s="232"/>
      <c r="Q53" s="232"/>
      <c r="R53" s="232"/>
      <c r="S53" s="232"/>
      <c r="T53" s="232"/>
    </row>
    <row r="54" spans="1:20" ht="25.5">
      <c r="A54" s="173">
        <v>300</v>
      </c>
      <c r="B54" s="325">
        <v>200</v>
      </c>
      <c r="C54" s="326">
        <v>301</v>
      </c>
      <c r="D54" s="326">
        <v>0</v>
      </c>
      <c r="E54" s="326">
        <v>0</v>
      </c>
      <c r="F54" s="326">
        <v>0</v>
      </c>
      <c r="G54" s="330" t="s">
        <v>2245</v>
      </c>
      <c r="H54" s="330" t="s">
        <v>2246</v>
      </c>
      <c r="I54" s="326" t="s">
        <v>599</v>
      </c>
      <c r="J54" s="325"/>
      <c r="K54" s="336">
        <f t="shared" si="0"/>
        <v>0</v>
      </c>
      <c r="L54" s="336">
        <v>0</v>
      </c>
      <c r="M54" s="336"/>
      <c r="N54" s="336">
        <v>0</v>
      </c>
      <c r="O54" s="232"/>
      <c r="P54" s="232"/>
      <c r="Q54" s="232"/>
      <c r="R54" s="232"/>
      <c r="S54" s="232"/>
      <c r="T54" s="232"/>
    </row>
    <row r="55" spans="1:20">
      <c r="A55" s="173">
        <v>300</v>
      </c>
      <c r="B55" s="325">
        <v>200</v>
      </c>
      <c r="C55" s="326">
        <v>400</v>
      </c>
      <c r="D55" s="326">
        <v>0</v>
      </c>
      <c r="E55" s="326">
        <v>0</v>
      </c>
      <c r="F55" s="326">
        <v>0</v>
      </c>
      <c r="G55" s="331" t="s">
        <v>2376</v>
      </c>
      <c r="H55" s="331" t="s">
        <v>600</v>
      </c>
      <c r="I55" s="326" t="s">
        <v>601</v>
      </c>
      <c r="J55" s="325"/>
      <c r="K55" s="335">
        <f t="shared" si="0"/>
        <v>0</v>
      </c>
      <c r="L55" s="335">
        <v>0</v>
      </c>
      <c r="M55" s="335"/>
      <c r="N55" s="335">
        <v>0</v>
      </c>
      <c r="O55" s="232"/>
      <c r="P55" s="232"/>
      <c r="Q55" s="232"/>
      <c r="R55" s="232"/>
      <c r="S55" s="232"/>
      <c r="T55" s="232"/>
    </row>
    <row r="56" spans="1:20">
      <c r="A56" s="173">
        <v>300</v>
      </c>
      <c r="B56" s="325">
        <v>200</v>
      </c>
      <c r="C56" s="326">
        <v>400</v>
      </c>
      <c r="D56" s="326">
        <v>100</v>
      </c>
      <c r="E56" s="326">
        <v>0</v>
      </c>
      <c r="F56" s="326">
        <v>0</v>
      </c>
      <c r="G56" s="330" t="s">
        <v>2377</v>
      </c>
      <c r="H56" s="330" t="s">
        <v>602</v>
      </c>
      <c r="I56" s="338"/>
      <c r="J56" s="338"/>
      <c r="K56" s="334">
        <f t="shared" si="0"/>
        <v>106669.1</v>
      </c>
      <c r="L56" s="334">
        <v>106669.1</v>
      </c>
      <c r="M56" s="334"/>
      <c r="N56" s="334">
        <v>114493.06</v>
      </c>
      <c r="O56" s="232"/>
      <c r="P56" s="232"/>
      <c r="Q56" s="232"/>
      <c r="R56" s="232"/>
      <c r="S56" s="232"/>
      <c r="T56" s="232"/>
    </row>
    <row r="57" spans="1:20">
      <c r="A57" s="173">
        <v>300</v>
      </c>
      <c r="B57" s="325">
        <v>200</v>
      </c>
      <c r="C57" s="326">
        <v>400</v>
      </c>
      <c r="D57" s="326">
        <v>200</v>
      </c>
      <c r="E57" s="326">
        <v>0</v>
      </c>
      <c r="F57" s="326">
        <v>0</v>
      </c>
      <c r="G57" s="330" t="s">
        <v>2378</v>
      </c>
      <c r="H57" s="330" t="s">
        <v>603</v>
      </c>
      <c r="I57" s="338"/>
      <c r="J57" s="338"/>
      <c r="K57" s="334">
        <f t="shared" si="0"/>
        <v>7715.06</v>
      </c>
      <c r="L57" s="334">
        <v>7715.06</v>
      </c>
      <c r="M57" s="334"/>
      <c r="N57" s="334">
        <v>8805.14</v>
      </c>
      <c r="O57" s="232"/>
      <c r="P57" s="232"/>
      <c r="Q57" s="232"/>
      <c r="R57" s="232"/>
      <c r="S57" s="232"/>
      <c r="T57" s="232"/>
    </row>
    <row r="58" spans="1:20">
      <c r="A58" s="173">
        <v>300</v>
      </c>
      <c r="B58" s="325">
        <v>200</v>
      </c>
      <c r="C58" s="326">
        <v>400</v>
      </c>
      <c r="D58" s="326">
        <v>300</v>
      </c>
      <c r="E58" s="326">
        <v>0</v>
      </c>
      <c r="F58" s="326">
        <v>0</v>
      </c>
      <c r="G58" s="330" t="s">
        <v>2379</v>
      </c>
      <c r="H58" s="330" t="s">
        <v>604</v>
      </c>
      <c r="I58" s="338"/>
      <c r="J58" s="338"/>
      <c r="K58" s="334">
        <f t="shared" si="0"/>
        <v>27143.9</v>
      </c>
      <c r="L58" s="334">
        <v>27143.9</v>
      </c>
      <c r="M58" s="334"/>
      <c r="N58" s="334">
        <v>17091.09</v>
      </c>
      <c r="O58" s="232"/>
      <c r="P58" s="232"/>
      <c r="Q58" s="232"/>
      <c r="R58" s="232"/>
      <c r="S58" s="232"/>
      <c r="T58" s="232"/>
    </row>
    <row r="59" spans="1:20" ht="25.5">
      <c r="A59" s="173">
        <v>300</v>
      </c>
      <c r="B59" s="325">
        <v>200</v>
      </c>
      <c r="C59" s="326">
        <v>400</v>
      </c>
      <c r="D59" s="326">
        <v>400</v>
      </c>
      <c r="E59" s="326">
        <v>0</v>
      </c>
      <c r="F59" s="326">
        <v>0</v>
      </c>
      <c r="G59" s="330" t="s">
        <v>2247</v>
      </c>
      <c r="H59" s="330" t="s">
        <v>2248</v>
      </c>
      <c r="I59" s="338"/>
      <c r="J59" s="353"/>
      <c r="K59" s="336">
        <f t="shared" si="0"/>
        <v>16746.73</v>
      </c>
      <c r="L59" s="336">
        <v>16746.73</v>
      </c>
      <c r="M59" s="336"/>
      <c r="N59" s="336">
        <v>19335.740000000002</v>
      </c>
      <c r="O59" s="232"/>
      <c r="P59" s="232"/>
      <c r="Q59" s="232"/>
      <c r="R59" s="232"/>
      <c r="S59" s="232"/>
      <c r="T59" s="232"/>
    </row>
    <row r="60" spans="1:20">
      <c r="A60" s="173">
        <v>300</v>
      </c>
      <c r="B60" s="325">
        <v>200</v>
      </c>
      <c r="C60" s="326">
        <v>500</v>
      </c>
      <c r="D60" s="326">
        <v>0</v>
      </c>
      <c r="E60" s="326">
        <v>0</v>
      </c>
      <c r="F60" s="326">
        <v>0</v>
      </c>
      <c r="G60" s="331" t="s">
        <v>2380</v>
      </c>
      <c r="H60" s="331" t="s">
        <v>605</v>
      </c>
      <c r="I60" s="326" t="s">
        <v>606</v>
      </c>
      <c r="J60" s="325"/>
      <c r="K60" s="335">
        <f t="shared" si="0"/>
        <v>0</v>
      </c>
      <c r="L60" s="335">
        <v>0</v>
      </c>
      <c r="M60" s="335"/>
      <c r="N60" s="335">
        <v>0</v>
      </c>
      <c r="O60" s="232"/>
      <c r="P60" s="232"/>
      <c r="Q60" s="232"/>
      <c r="R60" s="232"/>
      <c r="S60" s="232"/>
      <c r="T60" s="232"/>
    </row>
    <row r="61" spans="1:20">
      <c r="A61" s="173">
        <v>300</v>
      </c>
      <c r="B61" s="325">
        <v>200</v>
      </c>
      <c r="C61" s="326">
        <v>500</v>
      </c>
      <c r="D61" s="326">
        <v>100</v>
      </c>
      <c r="E61" s="326">
        <v>0</v>
      </c>
      <c r="F61" s="326">
        <v>0</v>
      </c>
      <c r="G61" s="330" t="s">
        <v>2381</v>
      </c>
      <c r="H61" s="330" t="s">
        <v>607</v>
      </c>
      <c r="I61" s="175"/>
      <c r="J61" s="175"/>
      <c r="K61" s="334">
        <f t="shared" si="0"/>
        <v>9309.5300000000007</v>
      </c>
      <c r="L61" s="334">
        <v>9309.5300000000007</v>
      </c>
      <c r="M61" s="334"/>
      <c r="N61" s="334">
        <v>18929.62</v>
      </c>
      <c r="O61" s="232"/>
      <c r="P61" s="232"/>
      <c r="Q61" s="232"/>
      <c r="R61" s="232"/>
      <c r="S61" s="232"/>
      <c r="T61" s="232"/>
    </row>
    <row r="62" spans="1:20">
      <c r="A62" s="173">
        <v>300</v>
      </c>
      <c r="B62" s="325">
        <v>200</v>
      </c>
      <c r="C62" s="326">
        <v>500</v>
      </c>
      <c r="D62" s="326">
        <v>200</v>
      </c>
      <c r="E62" s="326">
        <v>0</v>
      </c>
      <c r="F62" s="326">
        <v>0</v>
      </c>
      <c r="G62" s="330" t="s">
        <v>2382</v>
      </c>
      <c r="H62" s="330" t="s">
        <v>608</v>
      </c>
      <c r="I62" s="175"/>
      <c r="J62" s="175"/>
      <c r="K62" s="334">
        <f t="shared" si="0"/>
        <v>2121.21</v>
      </c>
      <c r="L62" s="334">
        <v>2121.21</v>
      </c>
      <c r="M62" s="334"/>
      <c r="N62" s="334">
        <v>2301.4</v>
      </c>
      <c r="O62" s="232"/>
      <c r="P62" s="232"/>
      <c r="Q62" s="232"/>
      <c r="R62" s="232"/>
      <c r="S62" s="232"/>
      <c r="T62" s="232"/>
    </row>
    <row r="63" spans="1:20" ht="25.5">
      <c r="A63" s="173">
        <v>300</v>
      </c>
      <c r="B63" s="325">
        <v>200</v>
      </c>
      <c r="C63" s="326">
        <v>500</v>
      </c>
      <c r="D63" s="326">
        <v>300</v>
      </c>
      <c r="E63" s="326">
        <v>0</v>
      </c>
      <c r="F63" s="326">
        <v>0</v>
      </c>
      <c r="G63" s="330" t="s">
        <v>2249</v>
      </c>
      <c r="H63" s="330" t="s">
        <v>2250</v>
      </c>
      <c r="I63" s="175"/>
      <c r="J63" s="175"/>
      <c r="K63" s="334">
        <f t="shared" si="0"/>
        <v>0</v>
      </c>
      <c r="L63" s="334">
        <v>0</v>
      </c>
      <c r="M63" s="334"/>
      <c r="N63" s="334">
        <v>0</v>
      </c>
      <c r="O63" s="232"/>
      <c r="P63" s="232"/>
      <c r="Q63" s="232"/>
      <c r="R63" s="232"/>
      <c r="S63" s="232"/>
      <c r="T63" s="232"/>
    </row>
    <row r="64" spans="1:20">
      <c r="A64" s="173">
        <v>300</v>
      </c>
      <c r="B64" s="325">
        <v>200</v>
      </c>
      <c r="C64" s="326">
        <v>600</v>
      </c>
      <c r="D64" s="326">
        <v>0</v>
      </c>
      <c r="E64" s="326">
        <v>0</v>
      </c>
      <c r="F64" s="326">
        <v>0</v>
      </c>
      <c r="G64" s="330" t="s">
        <v>2383</v>
      </c>
      <c r="H64" s="330" t="s">
        <v>609</v>
      </c>
      <c r="I64" s="326" t="s">
        <v>610</v>
      </c>
      <c r="J64" s="326"/>
      <c r="K64" s="334">
        <f t="shared" si="0"/>
        <v>97655.8</v>
      </c>
      <c r="L64" s="334">
        <v>97655.8</v>
      </c>
      <c r="M64" s="334"/>
      <c r="N64" s="334">
        <v>30140.03</v>
      </c>
      <c r="O64" s="232"/>
      <c r="P64" s="232"/>
      <c r="Q64" s="232"/>
      <c r="R64" s="232"/>
      <c r="S64" s="232"/>
      <c r="T64" s="232"/>
    </row>
    <row r="65" spans="1:20" ht="25.5">
      <c r="A65" s="173">
        <v>300</v>
      </c>
      <c r="B65" s="325">
        <v>200</v>
      </c>
      <c r="C65" s="326">
        <v>601</v>
      </c>
      <c r="D65" s="326">
        <v>0</v>
      </c>
      <c r="E65" s="326">
        <v>0</v>
      </c>
      <c r="F65" s="326">
        <v>0</v>
      </c>
      <c r="G65" s="330" t="s">
        <v>2251</v>
      </c>
      <c r="H65" s="330" t="s">
        <v>2252</v>
      </c>
      <c r="I65" s="326" t="s">
        <v>610</v>
      </c>
      <c r="J65" s="325"/>
      <c r="K65" s="336">
        <f t="shared" si="0"/>
        <v>335.98</v>
      </c>
      <c r="L65" s="336">
        <v>335.98</v>
      </c>
      <c r="M65" s="336"/>
      <c r="N65" s="336">
        <v>564.88</v>
      </c>
      <c r="O65" s="232"/>
      <c r="P65" s="232"/>
      <c r="Q65" s="232"/>
      <c r="R65" s="232"/>
      <c r="S65" s="232"/>
      <c r="T65" s="232"/>
    </row>
    <row r="66" spans="1:20" ht="25.5">
      <c r="A66" s="173">
        <v>300</v>
      </c>
      <c r="B66" s="325">
        <v>200</v>
      </c>
      <c r="C66" s="326">
        <v>700</v>
      </c>
      <c r="D66" s="326">
        <v>0</v>
      </c>
      <c r="E66" s="326">
        <v>0</v>
      </c>
      <c r="F66" s="326">
        <v>0</v>
      </c>
      <c r="G66" s="331" t="s">
        <v>2384</v>
      </c>
      <c r="H66" s="331" t="s">
        <v>611</v>
      </c>
      <c r="I66" s="326" t="s">
        <v>612</v>
      </c>
      <c r="J66" s="325" t="s">
        <v>1530</v>
      </c>
      <c r="K66" s="335">
        <f t="shared" si="0"/>
        <v>0</v>
      </c>
      <c r="L66" s="335">
        <v>0</v>
      </c>
      <c r="M66" s="335"/>
      <c r="N66" s="335">
        <v>0</v>
      </c>
      <c r="O66" s="232"/>
      <c r="P66" s="232"/>
      <c r="Q66" s="232"/>
      <c r="R66" s="232"/>
      <c r="S66" s="232"/>
      <c r="T66" s="232"/>
    </row>
    <row r="67" spans="1:20">
      <c r="A67" s="173">
        <v>300</v>
      </c>
      <c r="B67" s="325">
        <v>200</v>
      </c>
      <c r="C67" s="326">
        <v>700</v>
      </c>
      <c r="D67" s="326">
        <v>100</v>
      </c>
      <c r="E67" s="326">
        <v>0</v>
      </c>
      <c r="F67" s="326">
        <v>0</v>
      </c>
      <c r="G67" s="330" t="s">
        <v>2385</v>
      </c>
      <c r="H67" s="330" t="s">
        <v>594</v>
      </c>
      <c r="I67" s="326"/>
      <c r="J67" s="326" t="s">
        <v>1530</v>
      </c>
      <c r="K67" s="334">
        <f t="shared" si="0"/>
        <v>12113.45</v>
      </c>
      <c r="L67" s="334">
        <v>12113.45</v>
      </c>
      <c r="M67" s="334"/>
      <c r="N67" s="334">
        <v>10811.62</v>
      </c>
      <c r="O67" s="232"/>
      <c r="P67" s="232"/>
      <c r="Q67" s="232"/>
      <c r="R67" s="232"/>
      <c r="S67" s="232"/>
      <c r="T67" s="232"/>
    </row>
    <row r="68" spans="1:20" ht="25.5">
      <c r="A68" s="173">
        <v>300</v>
      </c>
      <c r="B68" s="325">
        <v>200</v>
      </c>
      <c r="C68" s="326">
        <v>700</v>
      </c>
      <c r="D68" s="326">
        <v>200</v>
      </c>
      <c r="E68" s="326">
        <v>0</v>
      </c>
      <c r="F68" s="326">
        <v>0</v>
      </c>
      <c r="G68" s="330" t="s">
        <v>2386</v>
      </c>
      <c r="H68" s="330" t="s">
        <v>596</v>
      </c>
      <c r="I68" s="326"/>
      <c r="J68" s="326" t="s">
        <v>1530</v>
      </c>
      <c r="K68" s="334">
        <f t="shared" si="0"/>
        <v>87109</v>
      </c>
      <c r="L68" s="334">
        <v>87109</v>
      </c>
      <c r="M68" s="334"/>
      <c r="N68" s="334">
        <v>126937.49</v>
      </c>
      <c r="O68" s="232"/>
      <c r="P68" s="232"/>
      <c r="Q68" s="232"/>
      <c r="R68" s="232"/>
      <c r="S68" s="232"/>
      <c r="T68" s="232"/>
    </row>
    <row r="69" spans="1:20">
      <c r="A69" s="173">
        <v>300</v>
      </c>
      <c r="B69" s="325">
        <v>200</v>
      </c>
      <c r="C69" s="326">
        <v>700</v>
      </c>
      <c r="D69" s="326">
        <v>300</v>
      </c>
      <c r="E69" s="326">
        <v>0</v>
      </c>
      <c r="F69" s="326">
        <v>0</v>
      </c>
      <c r="G69" s="330" t="s">
        <v>2387</v>
      </c>
      <c r="H69" s="330" t="s">
        <v>598</v>
      </c>
      <c r="I69" s="326"/>
      <c r="J69" s="326" t="s">
        <v>1530</v>
      </c>
      <c r="K69" s="334">
        <f t="shared" si="0"/>
        <v>0</v>
      </c>
      <c r="L69" s="334">
        <v>0</v>
      </c>
      <c r="M69" s="334"/>
      <c r="N69" s="334">
        <v>0</v>
      </c>
      <c r="O69" s="232"/>
      <c r="P69" s="232"/>
      <c r="Q69" s="232"/>
      <c r="R69" s="232"/>
      <c r="S69" s="232"/>
      <c r="T69" s="232"/>
    </row>
    <row r="70" spans="1:20">
      <c r="A70" s="173">
        <v>300</v>
      </c>
      <c r="B70" s="325">
        <v>200</v>
      </c>
      <c r="C70" s="326">
        <v>700</v>
      </c>
      <c r="D70" s="326">
        <v>400</v>
      </c>
      <c r="E70" s="326">
        <v>0</v>
      </c>
      <c r="F70" s="326">
        <v>0</v>
      </c>
      <c r="G70" s="330" t="s">
        <v>2388</v>
      </c>
      <c r="H70" s="330" t="s">
        <v>600</v>
      </c>
      <c r="I70" s="326"/>
      <c r="J70" s="326" t="s">
        <v>1530</v>
      </c>
      <c r="K70" s="334">
        <f t="shared" si="0"/>
        <v>76376.81</v>
      </c>
      <c r="L70" s="334">
        <v>76376.81</v>
      </c>
      <c r="M70" s="334"/>
      <c r="N70" s="334">
        <v>87892.78</v>
      </c>
      <c r="O70" s="232"/>
      <c r="P70" s="232"/>
      <c r="Q70" s="232"/>
      <c r="R70" s="232"/>
      <c r="S70" s="232"/>
      <c r="T70" s="232"/>
    </row>
    <row r="71" spans="1:20">
      <c r="A71" s="173">
        <v>300</v>
      </c>
      <c r="B71" s="325">
        <v>200</v>
      </c>
      <c r="C71" s="326">
        <v>700</v>
      </c>
      <c r="D71" s="326">
        <v>500</v>
      </c>
      <c r="E71" s="326">
        <v>0</v>
      </c>
      <c r="F71" s="326">
        <v>0</v>
      </c>
      <c r="G71" s="330" t="s">
        <v>2389</v>
      </c>
      <c r="H71" s="330" t="s">
        <v>605</v>
      </c>
      <c r="I71" s="326"/>
      <c r="J71" s="326" t="s">
        <v>1530</v>
      </c>
      <c r="K71" s="334">
        <f t="shared" ref="K71:K134" si="1">+L71+M71</f>
        <v>0</v>
      </c>
      <c r="L71" s="334">
        <v>0</v>
      </c>
      <c r="M71" s="334"/>
      <c r="N71" s="334">
        <v>0</v>
      </c>
      <c r="O71" s="232"/>
      <c r="P71" s="232"/>
      <c r="Q71" s="232"/>
      <c r="R71" s="232"/>
      <c r="S71" s="232"/>
      <c r="T71" s="232"/>
    </row>
    <row r="72" spans="1:20" ht="25.5">
      <c r="A72" s="174">
        <v>300</v>
      </c>
      <c r="B72" s="326">
        <v>200</v>
      </c>
      <c r="C72" s="326">
        <v>700</v>
      </c>
      <c r="D72" s="326">
        <v>900</v>
      </c>
      <c r="E72" s="326">
        <v>0</v>
      </c>
      <c r="F72" s="326">
        <v>0</v>
      </c>
      <c r="G72" s="330" t="s">
        <v>2390</v>
      </c>
      <c r="H72" s="330" t="s">
        <v>613</v>
      </c>
      <c r="I72" s="332"/>
      <c r="J72" s="332" t="s">
        <v>1530</v>
      </c>
      <c r="K72" s="334">
        <f t="shared" si="1"/>
        <v>1526.61</v>
      </c>
      <c r="L72" s="334">
        <v>1526.61</v>
      </c>
      <c r="M72" s="334"/>
      <c r="N72" s="334">
        <v>2567.65</v>
      </c>
      <c r="O72" s="232"/>
      <c r="P72" s="232"/>
      <c r="Q72" s="232"/>
      <c r="R72" s="232"/>
      <c r="S72" s="232"/>
      <c r="T72" s="232"/>
    </row>
    <row r="73" spans="1:20">
      <c r="A73" s="404">
        <v>305</v>
      </c>
      <c r="B73" s="405">
        <v>0</v>
      </c>
      <c r="C73" s="405">
        <v>0</v>
      </c>
      <c r="D73" s="405">
        <v>0</v>
      </c>
      <c r="E73" s="405">
        <v>0</v>
      </c>
      <c r="F73" s="405">
        <v>0</v>
      </c>
      <c r="G73" s="339">
        <v>305</v>
      </c>
      <c r="H73" s="339" t="s">
        <v>614</v>
      </c>
      <c r="I73" s="52" t="s">
        <v>615</v>
      </c>
      <c r="J73" s="52"/>
      <c r="K73" s="335">
        <f t="shared" si="1"/>
        <v>0</v>
      </c>
      <c r="L73" s="335">
        <v>0</v>
      </c>
      <c r="M73" s="335"/>
      <c r="N73" s="335">
        <v>0</v>
      </c>
      <c r="O73" s="232"/>
      <c r="P73" s="232"/>
      <c r="Q73" s="232"/>
      <c r="R73" s="232"/>
      <c r="S73" s="232"/>
      <c r="T73" s="232"/>
    </row>
    <row r="74" spans="1:20">
      <c r="A74" s="174">
        <v>305</v>
      </c>
      <c r="B74" s="326">
        <v>100</v>
      </c>
      <c r="C74" s="326">
        <v>0</v>
      </c>
      <c r="D74" s="326">
        <v>0</v>
      </c>
      <c r="E74" s="326">
        <v>0</v>
      </c>
      <c r="F74" s="326">
        <v>0</v>
      </c>
      <c r="G74" s="331" t="s">
        <v>2391</v>
      </c>
      <c r="H74" s="331" t="s">
        <v>616</v>
      </c>
      <c r="I74" s="326" t="s">
        <v>617</v>
      </c>
      <c r="J74" s="325"/>
      <c r="K74" s="335">
        <f t="shared" si="1"/>
        <v>0</v>
      </c>
      <c r="L74" s="335">
        <v>0</v>
      </c>
      <c r="M74" s="335"/>
      <c r="N74" s="335">
        <v>0</v>
      </c>
      <c r="O74" s="232"/>
      <c r="P74" s="232"/>
      <c r="Q74" s="232"/>
      <c r="R74" s="232"/>
      <c r="S74" s="232"/>
      <c r="T74" s="232"/>
    </row>
    <row r="75" spans="1:20">
      <c r="A75" s="174">
        <v>305</v>
      </c>
      <c r="B75" s="326">
        <v>100</v>
      </c>
      <c r="C75" s="326">
        <v>50</v>
      </c>
      <c r="D75" s="326">
        <v>0</v>
      </c>
      <c r="E75" s="326">
        <v>0</v>
      </c>
      <c r="F75" s="326">
        <v>0</v>
      </c>
      <c r="G75" s="331" t="s">
        <v>2392</v>
      </c>
      <c r="H75" s="331" t="s">
        <v>618</v>
      </c>
      <c r="I75" s="326" t="s">
        <v>619</v>
      </c>
      <c r="J75" s="325"/>
      <c r="K75" s="335">
        <f t="shared" si="1"/>
        <v>0</v>
      </c>
      <c r="L75" s="335">
        <v>0</v>
      </c>
      <c r="M75" s="335"/>
      <c r="N75" s="335">
        <v>0</v>
      </c>
      <c r="O75" s="232"/>
      <c r="P75" s="232"/>
      <c r="Q75" s="232"/>
      <c r="R75" s="232"/>
      <c r="S75" s="232"/>
      <c r="T75" s="232"/>
    </row>
    <row r="76" spans="1:20">
      <c r="A76" s="174">
        <v>305</v>
      </c>
      <c r="B76" s="326">
        <v>100</v>
      </c>
      <c r="C76" s="326">
        <v>50</v>
      </c>
      <c r="D76" s="326">
        <v>100</v>
      </c>
      <c r="E76" s="326">
        <v>0</v>
      </c>
      <c r="F76" s="326">
        <v>0</v>
      </c>
      <c r="G76" s="340" t="s">
        <v>2393</v>
      </c>
      <c r="H76" s="340" t="s">
        <v>620</v>
      </c>
      <c r="I76" s="326" t="s">
        <v>621</v>
      </c>
      <c r="J76" s="325"/>
      <c r="K76" s="335">
        <f t="shared" si="1"/>
        <v>0</v>
      </c>
      <c r="L76" s="335">
        <v>0</v>
      </c>
      <c r="M76" s="335"/>
      <c r="N76" s="335">
        <v>0</v>
      </c>
      <c r="O76" s="232"/>
      <c r="P76" s="232"/>
      <c r="Q76" s="232"/>
      <c r="R76" s="232"/>
      <c r="S76" s="232"/>
      <c r="T76" s="232"/>
    </row>
    <row r="77" spans="1:20">
      <c r="A77" s="174">
        <v>305</v>
      </c>
      <c r="B77" s="326">
        <v>100</v>
      </c>
      <c r="C77" s="326">
        <v>50</v>
      </c>
      <c r="D77" s="326">
        <v>100</v>
      </c>
      <c r="E77" s="326">
        <v>10</v>
      </c>
      <c r="F77" s="326">
        <v>0</v>
      </c>
      <c r="G77" s="331" t="s">
        <v>2394</v>
      </c>
      <c r="H77" s="331" t="s">
        <v>622</v>
      </c>
      <c r="I77" s="326" t="s">
        <v>623</v>
      </c>
      <c r="J77" s="325"/>
      <c r="K77" s="335">
        <f t="shared" si="1"/>
        <v>0</v>
      </c>
      <c r="L77" s="335">
        <v>0</v>
      </c>
      <c r="M77" s="335"/>
      <c r="N77" s="335">
        <v>0</v>
      </c>
      <c r="O77" s="232"/>
      <c r="P77" s="232"/>
      <c r="Q77" s="232"/>
      <c r="R77" s="232"/>
      <c r="S77" s="232"/>
      <c r="T77" s="232"/>
    </row>
    <row r="78" spans="1:20">
      <c r="A78" s="174">
        <v>305</v>
      </c>
      <c r="B78" s="326">
        <v>100</v>
      </c>
      <c r="C78" s="326">
        <v>50</v>
      </c>
      <c r="D78" s="326">
        <v>100</v>
      </c>
      <c r="E78" s="326">
        <v>10</v>
      </c>
      <c r="F78" s="326">
        <v>5</v>
      </c>
      <c r="G78" s="330" t="s">
        <v>2395</v>
      </c>
      <c r="H78" s="330" t="s">
        <v>624</v>
      </c>
      <c r="I78" s="326"/>
      <c r="J78" s="326"/>
      <c r="K78" s="334">
        <f t="shared" si="1"/>
        <v>0</v>
      </c>
      <c r="L78" s="334">
        <v>0</v>
      </c>
      <c r="M78" s="334"/>
      <c r="N78" s="334">
        <v>0</v>
      </c>
      <c r="O78" s="232"/>
      <c r="P78" s="232"/>
      <c r="Q78" s="232"/>
      <c r="R78" s="232"/>
      <c r="S78" s="232"/>
      <c r="T78" s="232"/>
    </row>
    <row r="79" spans="1:20">
      <c r="A79" s="174">
        <v>305</v>
      </c>
      <c r="B79" s="326">
        <v>100</v>
      </c>
      <c r="C79" s="326">
        <v>50</v>
      </c>
      <c r="D79" s="326">
        <v>100</v>
      </c>
      <c r="E79" s="326">
        <v>10</v>
      </c>
      <c r="F79" s="326">
        <v>10</v>
      </c>
      <c r="G79" s="330" t="s">
        <v>2396</v>
      </c>
      <c r="H79" s="330" t="s">
        <v>625</v>
      </c>
      <c r="I79" s="326"/>
      <c r="J79" s="326"/>
      <c r="K79" s="334">
        <f t="shared" si="1"/>
        <v>0</v>
      </c>
      <c r="L79" s="334">
        <v>0</v>
      </c>
      <c r="M79" s="334"/>
      <c r="N79" s="334">
        <v>0</v>
      </c>
      <c r="O79" s="232"/>
      <c r="P79" s="232"/>
      <c r="Q79" s="232"/>
      <c r="R79" s="232"/>
      <c r="S79" s="232"/>
      <c r="T79" s="232"/>
    </row>
    <row r="80" spans="1:20">
      <c r="A80" s="174">
        <v>305</v>
      </c>
      <c r="B80" s="326">
        <v>100</v>
      </c>
      <c r="C80" s="326">
        <v>50</v>
      </c>
      <c r="D80" s="326">
        <v>100</v>
      </c>
      <c r="E80" s="326">
        <v>10</v>
      </c>
      <c r="F80" s="326">
        <v>15</v>
      </c>
      <c r="G80" s="330" t="s">
        <v>2397</v>
      </c>
      <c r="H80" s="330" t="s">
        <v>626</v>
      </c>
      <c r="I80" s="326"/>
      <c r="J80" s="326"/>
      <c r="K80" s="334">
        <f t="shared" si="1"/>
        <v>0</v>
      </c>
      <c r="L80" s="334">
        <v>0</v>
      </c>
      <c r="M80" s="334"/>
      <c r="N80" s="334">
        <v>0</v>
      </c>
      <c r="O80" s="232"/>
      <c r="P80" s="232"/>
      <c r="Q80" s="232"/>
      <c r="R80" s="232"/>
      <c r="S80" s="232"/>
      <c r="T80" s="232"/>
    </row>
    <row r="81" spans="1:20">
      <c r="A81" s="174">
        <v>305</v>
      </c>
      <c r="B81" s="326">
        <v>100</v>
      </c>
      <c r="C81" s="326">
        <v>50</v>
      </c>
      <c r="D81" s="326">
        <v>100</v>
      </c>
      <c r="E81" s="326">
        <v>10</v>
      </c>
      <c r="F81" s="326">
        <v>20</v>
      </c>
      <c r="G81" s="330" t="s">
        <v>2398</v>
      </c>
      <c r="H81" s="330" t="s">
        <v>627</v>
      </c>
      <c r="I81" s="326"/>
      <c r="J81" s="326"/>
      <c r="K81" s="341">
        <f t="shared" si="1"/>
        <v>0</v>
      </c>
      <c r="L81" s="341">
        <v>0</v>
      </c>
      <c r="M81" s="341"/>
      <c r="N81" s="341">
        <v>0</v>
      </c>
      <c r="O81" s="232"/>
      <c r="P81" s="232"/>
      <c r="Q81" s="232"/>
      <c r="R81" s="232"/>
      <c r="S81" s="232"/>
      <c r="T81" s="232"/>
    </row>
    <row r="82" spans="1:20">
      <c r="A82" s="174">
        <v>305</v>
      </c>
      <c r="B82" s="326">
        <v>100</v>
      </c>
      <c r="C82" s="326">
        <v>50</v>
      </c>
      <c r="D82" s="326">
        <v>100</v>
      </c>
      <c r="E82" s="326">
        <v>10</v>
      </c>
      <c r="F82" s="326">
        <v>25</v>
      </c>
      <c r="G82" s="330" t="s">
        <v>2399</v>
      </c>
      <c r="H82" s="330" t="s">
        <v>628</v>
      </c>
      <c r="I82" s="326"/>
      <c r="J82" s="326"/>
      <c r="K82" s="341">
        <f t="shared" si="1"/>
        <v>0</v>
      </c>
      <c r="L82" s="341">
        <v>0</v>
      </c>
      <c r="M82" s="341"/>
      <c r="N82" s="341">
        <v>0</v>
      </c>
      <c r="O82" s="232"/>
      <c r="P82" s="232"/>
      <c r="Q82" s="232"/>
      <c r="R82" s="232"/>
      <c r="S82" s="232"/>
      <c r="T82" s="232"/>
    </row>
    <row r="83" spans="1:20">
      <c r="A83" s="174">
        <v>305</v>
      </c>
      <c r="B83" s="326">
        <v>100</v>
      </c>
      <c r="C83" s="326">
        <v>50</v>
      </c>
      <c r="D83" s="326">
        <v>100</v>
      </c>
      <c r="E83" s="326">
        <v>10</v>
      </c>
      <c r="F83" s="326">
        <v>30</v>
      </c>
      <c r="G83" s="330" t="s">
        <v>2400</v>
      </c>
      <c r="H83" s="330" t="s">
        <v>629</v>
      </c>
      <c r="I83" s="326"/>
      <c r="J83" s="326"/>
      <c r="K83" s="341">
        <f t="shared" si="1"/>
        <v>0</v>
      </c>
      <c r="L83" s="341">
        <v>0</v>
      </c>
      <c r="M83" s="341"/>
      <c r="N83" s="341">
        <v>0</v>
      </c>
      <c r="O83" s="232"/>
      <c r="P83" s="232"/>
      <c r="Q83" s="232"/>
      <c r="R83" s="232"/>
      <c r="S83" s="232"/>
      <c r="T83" s="232"/>
    </row>
    <row r="84" spans="1:20">
      <c r="A84" s="174">
        <v>305</v>
      </c>
      <c r="B84" s="326">
        <v>100</v>
      </c>
      <c r="C84" s="326">
        <v>50</v>
      </c>
      <c r="D84" s="326">
        <v>100</v>
      </c>
      <c r="E84" s="326">
        <v>10</v>
      </c>
      <c r="F84" s="326">
        <v>35</v>
      </c>
      <c r="G84" s="330" t="s">
        <v>2401</v>
      </c>
      <c r="H84" s="330" t="s">
        <v>630</v>
      </c>
      <c r="I84" s="326"/>
      <c r="J84" s="326"/>
      <c r="K84" s="341">
        <f t="shared" si="1"/>
        <v>0</v>
      </c>
      <c r="L84" s="341">
        <v>0</v>
      </c>
      <c r="M84" s="341"/>
      <c r="N84" s="341">
        <v>0</v>
      </c>
      <c r="O84" s="232"/>
      <c r="P84" s="232"/>
      <c r="Q84" s="232"/>
      <c r="R84" s="232"/>
      <c r="S84" s="232"/>
      <c r="T84" s="232"/>
    </row>
    <row r="85" spans="1:20">
      <c r="A85" s="174">
        <v>305</v>
      </c>
      <c r="B85" s="326">
        <v>100</v>
      </c>
      <c r="C85" s="326">
        <v>50</v>
      </c>
      <c r="D85" s="326">
        <v>100</v>
      </c>
      <c r="E85" s="326">
        <v>10</v>
      </c>
      <c r="F85" s="326">
        <v>40</v>
      </c>
      <c r="G85" s="330" t="s">
        <v>2402</v>
      </c>
      <c r="H85" s="330" t="s">
        <v>631</v>
      </c>
      <c r="I85" s="326"/>
      <c r="J85" s="326"/>
      <c r="K85" s="341">
        <f t="shared" si="1"/>
        <v>0</v>
      </c>
      <c r="L85" s="341">
        <v>0</v>
      </c>
      <c r="M85" s="341"/>
      <c r="N85" s="341">
        <v>0</v>
      </c>
      <c r="O85" s="232"/>
      <c r="P85" s="232"/>
      <c r="Q85" s="232"/>
      <c r="R85" s="232"/>
      <c r="S85" s="232"/>
      <c r="T85" s="232"/>
    </row>
    <row r="86" spans="1:20">
      <c r="A86" s="174">
        <v>305</v>
      </c>
      <c r="B86" s="326">
        <v>100</v>
      </c>
      <c r="C86" s="326">
        <v>50</v>
      </c>
      <c r="D86" s="326">
        <v>100</v>
      </c>
      <c r="E86" s="326">
        <v>10</v>
      </c>
      <c r="F86" s="326">
        <v>45</v>
      </c>
      <c r="G86" s="330" t="s">
        <v>2403</v>
      </c>
      <c r="H86" s="330" t="s">
        <v>632</v>
      </c>
      <c r="I86" s="326"/>
      <c r="J86" s="326"/>
      <c r="K86" s="341">
        <f t="shared" si="1"/>
        <v>0</v>
      </c>
      <c r="L86" s="341">
        <v>0</v>
      </c>
      <c r="M86" s="341"/>
      <c r="N86" s="341">
        <v>0</v>
      </c>
      <c r="O86" s="232"/>
      <c r="P86" s="232"/>
      <c r="Q86" s="232"/>
      <c r="R86" s="232"/>
      <c r="S86" s="232"/>
      <c r="T86" s="232"/>
    </row>
    <row r="87" spans="1:20">
      <c r="A87" s="174">
        <v>305</v>
      </c>
      <c r="B87" s="326">
        <v>100</v>
      </c>
      <c r="C87" s="326">
        <v>50</v>
      </c>
      <c r="D87" s="326">
        <v>100</v>
      </c>
      <c r="E87" s="326">
        <v>10</v>
      </c>
      <c r="F87" s="326">
        <v>50</v>
      </c>
      <c r="G87" s="330" t="s">
        <v>2404</v>
      </c>
      <c r="H87" s="330" t="s">
        <v>633</v>
      </c>
      <c r="I87" s="326"/>
      <c r="J87" s="326"/>
      <c r="K87" s="341">
        <f t="shared" si="1"/>
        <v>0</v>
      </c>
      <c r="L87" s="341">
        <v>0</v>
      </c>
      <c r="M87" s="341"/>
      <c r="N87" s="341">
        <v>0</v>
      </c>
      <c r="O87" s="232"/>
      <c r="P87" s="232"/>
      <c r="Q87" s="232"/>
      <c r="R87" s="232"/>
      <c r="S87" s="232"/>
      <c r="T87" s="232"/>
    </row>
    <row r="88" spans="1:20">
      <c r="A88" s="174">
        <v>305</v>
      </c>
      <c r="B88" s="326">
        <v>100</v>
      </c>
      <c r="C88" s="326">
        <v>50</v>
      </c>
      <c r="D88" s="326">
        <v>100</v>
      </c>
      <c r="E88" s="326">
        <v>10</v>
      </c>
      <c r="F88" s="326">
        <v>55</v>
      </c>
      <c r="G88" s="330" t="s">
        <v>2405</v>
      </c>
      <c r="H88" s="330" t="s">
        <v>634</v>
      </c>
      <c r="I88" s="326"/>
      <c r="J88" s="326"/>
      <c r="K88" s="341">
        <f t="shared" si="1"/>
        <v>0</v>
      </c>
      <c r="L88" s="341">
        <v>0</v>
      </c>
      <c r="M88" s="341"/>
      <c r="N88" s="341">
        <v>0</v>
      </c>
      <c r="O88" s="232"/>
      <c r="P88" s="232"/>
      <c r="Q88" s="232"/>
      <c r="R88" s="232"/>
      <c r="S88" s="232"/>
      <c r="T88" s="232"/>
    </row>
    <row r="89" spans="1:20">
      <c r="A89" s="174">
        <v>305</v>
      </c>
      <c r="B89" s="326">
        <v>100</v>
      </c>
      <c r="C89" s="326">
        <v>50</v>
      </c>
      <c r="D89" s="326">
        <v>100</v>
      </c>
      <c r="E89" s="325">
        <v>20</v>
      </c>
      <c r="F89" s="325">
        <v>0</v>
      </c>
      <c r="G89" s="337" t="s">
        <v>2406</v>
      </c>
      <c r="H89" s="337" t="s">
        <v>635</v>
      </c>
      <c r="I89" s="326" t="s">
        <v>636</v>
      </c>
      <c r="J89" s="325"/>
      <c r="K89" s="335">
        <f t="shared" si="1"/>
        <v>0</v>
      </c>
      <c r="L89" s="335">
        <v>0</v>
      </c>
      <c r="M89" s="335"/>
      <c r="N89" s="335">
        <v>0</v>
      </c>
      <c r="O89" s="232"/>
      <c r="P89" s="232"/>
      <c r="Q89" s="232"/>
      <c r="R89" s="232"/>
      <c r="S89" s="232"/>
      <c r="T89" s="232"/>
    </row>
    <row r="90" spans="1:20">
      <c r="A90" s="174">
        <v>305</v>
      </c>
      <c r="B90" s="326">
        <v>100</v>
      </c>
      <c r="C90" s="326">
        <v>50</v>
      </c>
      <c r="D90" s="326">
        <v>100</v>
      </c>
      <c r="E90" s="325">
        <v>20</v>
      </c>
      <c r="F90" s="326">
        <v>5</v>
      </c>
      <c r="G90" s="330" t="s">
        <v>2407</v>
      </c>
      <c r="H90" s="330" t="s">
        <v>624</v>
      </c>
      <c r="I90" s="326"/>
      <c r="J90" s="326"/>
      <c r="K90" s="334">
        <f t="shared" si="1"/>
        <v>0</v>
      </c>
      <c r="L90" s="334">
        <v>0</v>
      </c>
      <c r="M90" s="334"/>
      <c r="N90" s="334">
        <v>0</v>
      </c>
      <c r="O90" s="232"/>
      <c r="P90" s="232"/>
      <c r="Q90" s="232"/>
      <c r="R90" s="232"/>
      <c r="S90" s="232"/>
      <c r="T90" s="232"/>
    </row>
    <row r="91" spans="1:20">
      <c r="A91" s="174">
        <v>305</v>
      </c>
      <c r="B91" s="326">
        <v>100</v>
      </c>
      <c r="C91" s="326">
        <v>50</v>
      </c>
      <c r="D91" s="326">
        <v>100</v>
      </c>
      <c r="E91" s="325">
        <v>20</v>
      </c>
      <c r="F91" s="326">
        <v>10</v>
      </c>
      <c r="G91" s="330" t="s">
        <v>2408</v>
      </c>
      <c r="H91" s="330" t="s">
        <v>625</v>
      </c>
      <c r="I91" s="326"/>
      <c r="J91" s="326"/>
      <c r="K91" s="334">
        <f t="shared" si="1"/>
        <v>0</v>
      </c>
      <c r="L91" s="334">
        <v>0</v>
      </c>
      <c r="M91" s="334"/>
      <c r="N91" s="334">
        <v>0</v>
      </c>
      <c r="O91" s="232"/>
      <c r="P91" s="232"/>
      <c r="Q91" s="232"/>
      <c r="R91" s="232"/>
      <c r="S91" s="232"/>
      <c r="T91" s="232"/>
    </row>
    <row r="92" spans="1:20">
      <c r="A92" s="174">
        <v>305</v>
      </c>
      <c r="B92" s="326">
        <v>100</v>
      </c>
      <c r="C92" s="326">
        <v>50</v>
      </c>
      <c r="D92" s="326">
        <v>100</v>
      </c>
      <c r="E92" s="325">
        <v>20</v>
      </c>
      <c r="F92" s="326">
        <v>15</v>
      </c>
      <c r="G92" s="330" t="s">
        <v>2409</v>
      </c>
      <c r="H92" s="330" t="s">
        <v>626</v>
      </c>
      <c r="I92" s="326"/>
      <c r="J92" s="326"/>
      <c r="K92" s="334">
        <f t="shared" si="1"/>
        <v>0</v>
      </c>
      <c r="L92" s="334">
        <v>0</v>
      </c>
      <c r="M92" s="334"/>
      <c r="N92" s="334">
        <v>0</v>
      </c>
      <c r="O92" s="232"/>
      <c r="P92" s="232"/>
      <c r="Q92" s="232"/>
      <c r="R92" s="232"/>
      <c r="S92" s="232"/>
      <c r="T92" s="232"/>
    </row>
    <row r="93" spans="1:20">
      <c r="A93" s="174">
        <v>305</v>
      </c>
      <c r="B93" s="326">
        <v>100</v>
      </c>
      <c r="C93" s="326">
        <v>50</v>
      </c>
      <c r="D93" s="326">
        <v>100</v>
      </c>
      <c r="E93" s="325">
        <v>20</v>
      </c>
      <c r="F93" s="326">
        <v>20</v>
      </c>
      <c r="G93" s="330" t="s">
        <v>2410</v>
      </c>
      <c r="H93" s="330" t="s">
        <v>627</v>
      </c>
      <c r="I93" s="326"/>
      <c r="J93" s="326"/>
      <c r="K93" s="341">
        <f t="shared" si="1"/>
        <v>0</v>
      </c>
      <c r="L93" s="341">
        <v>0</v>
      </c>
      <c r="M93" s="341"/>
      <c r="N93" s="341">
        <v>0</v>
      </c>
      <c r="O93" s="232"/>
      <c r="P93" s="232"/>
      <c r="Q93" s="232"/>
      <c r="R93" s="232"/>
      <c r="S93" s="232"/>
      <c r="T93" s="232"/>
    </row>
    <row r="94" spans="1:20">
      <c r="A94" s="174">
        <v>305</v>
      </c>
      <c r="B94" s="326">
        <v>100</v>
      </c>
      <c r="C94" s="326">
        <v>50</v>
      </c>
      <c r="D94" s="326">
        <v>100</v>
      </c>
      <c r="E94" s="325">
        <v>20</v>
      </c>
      <c r="F94" s="326">
        <v>25</v>
      </c>
      <c r="G94" s="330" t="s">
        <v>2411</v>
      </c>
      <c r="H94" s="330" t="s">
        <v>628</v>
      </c>
      <c r="I94" s="326"/>
      <c r="J94" s="326"/>
      <c r="K94" s="341">
        <f t="shared" si="1"/>
        <v>0</v>
      </c>
      <c r="L94" s="341">
        <v>0</v>
      </c>
      <c r="M94" s="341"/>
      <c r="N94" s="341">
        <v>0</v>
      </c>
      <c r="O94" s="232"/>
      <c r="P94" s="232"/>
      <c r="Q94" s="232"/>
      <c r="R94" s="232"/>
      <c r="S94" s="232"/>
      <c r="T94" s="232"/>
    </row>
    <row r="95" spans="1:20">
      <c r="A95" s="174">
        <v>305</v>
      </c>
      <c r="B95" s="326">
        <v>100</v>
      </c>
      <c r="C95" s="326">
        <v>50</v>
      </c>
      <c r="D95" s="326">
        <v>100</v>
      </c>
      <c r="E95" s="325">
        <v>20</v>
      </c>
      <c r="F95" s="326">
        <v>30</v>
      </c>
      <c r="G95" s="330" t="s">
        <v>2412</v>
      </c>
      <c r="H95" s="330" t="s">
        <v>629</v>
      </c>
      <c r="I95" s="326"/>
      <c r="J95" s="326"/>
      <c r="K95" s="334">
        <f t="shared" si="1"/>
        <v>0</v>
      </c>
      <c r="L95" s="334">
        <v>0</v>
      </c>
      <c r="M95" s="334"/>
      <c r="N95" s="334">
        <v>0</v>
      </c>
      <c r="O95" s="232"/>
      <c r="P95" s="232"/>
      <c r="Q95" s="232"/>
      <c r="R95" s="232"/>
      <c r="S95" s="232"/>
      <c r="T95" s="232"/>
    </row>
    <row r="96" spans="1:20">
      <c r="A96" s="174">
        <v>305</v>
      </c>
      <c r="B96" s="326">
        <v>100</v>
      </c>
      <c r="C96" s="326">
        <v>50</v>
      </c>
      <c r="D96" s="326">
        <v>100</v>
      </c>
      <c r="E96" s="325">
        <v>20</v>
      </c>
      <c r="F96" s="326">
        <v>35</v>
      </c>
      <c r="G96" s="330" t="s">
        <v>2413</v>
      </c>
      <c r="H96" s="330" t="s">
        <v>630</v>
      </c>
      <c r="I96" s="326"/>
      <c r="J96" s="326"/>
      <c r="K96" s="334">
        <f t="shared" si="1"/>
        <v>0</v>
      </c>
      <c r="L96" s="334">
        <v>0</v>
      </c>
      <c r="M96" s="334"/>
      <c r="N96" s="334">
        <v>0</v>
      </c>
      <c r="O96" s="232"/>
      <c r="P96" s="232"/>
      <c r="Q96" s="232"/>
      <c r="R96" s="232"/>
      <c r="S96" s="232"/>
      <c r="T96" s="232"/>
    </row>
    <row r="97" spans="1:20">
      <c r="A97" s="174">
        <v>305</v>
      </c>
      <c r="B97" s="326">
        <v>100</v>
      </c>
      <c r="C97" s="326">
        <v>50</v>
      </c>
      <c r="D97" s="326">
        <v>100</v>
      </c>
      <c r="E97" s="325">
        <v>20</v>
      </c>
      <c r="F97" s="326">
        <v>40</v>
      </c>
      <c r="G97" s="330" t="s">
        <v>2414</v>
      </c>
      <c r="H97" s="330" t="s">
        <v>631</v>
      </c>
      <c r="I97" s="326"/>
      <c r="J97" s="326"/>
      <c r="K97" s="334">
        <f t="shared" si="1"/>
        <v>0</v>
      </c>
      <c r="L97" s="334">
        <v>0</v>
      </c>
      <c r="M97" s="334"/>
      <c r="N97" s="334">
        <v>0</v>
      </c>
      <c r="O97" s="232"/>
      <c r="P97" s="232"/>
      <c r="Q97" s="232"/>
      <c r="R97" s="232"/>
      <c r="S97" s="232"/>
      <c r="T97" s="232"/>
    </row>
    <row r="98" spans="1:20">
      <c r="A98" s="174">
        <v>305</v>
      </c>
      <c r="B98" s="326">
        <v>100</v>
      </c>
      <c r="C98" s="326">
        <v>50</v>
      </c>
      <c r="D98" s="326">
        <v>100</v>
      </c>
      <c r="E98" s="325">
        <v>20</v>
      </c>
      <c r="F98" s="326">
        <v>45</v>
      </c>
      <c r="G98" s="330" t="s">
        <v>2415</v>
      </c>
      <c r="H98" s="330" t="s">
        <v>632</v>
      </c>
      <c r="I98" s="326"/>
      <c r="J98" s="326"/>
      <c r="K98" s="341">
        <f t="shared" si="1"/>
        <v>0</v>
      </c>
      <c r="L98" s="341">
        <v>0</v>
      </c>
      <c r="M98" s="341"/>
      <c r="N98" s="341">
        <v>0</v>
      </c>
      <c r="O98" s="232"/>
      <c r="P98" s="232"/>
      <c r="Q98" s="232"/>
      <c r="R98" s="232"/>
      <c r="S98" s="232"/>
      <c r="T98" s="232"/>
    </row>
    <row r="99" spans="1:20">
      <c r="A99" s="174">
        <v>305</v>
      </c>
      <c r="B99" s="326">
        <v>100</v>
      </c>
      <c r="C99" s="326">
        <v>50</v>
      </c>
      <c r="D99" s="326">
        <v>100</v>
      </c>
      <c r="E99" s="325">
        <v>20</v>
      </c>
      <c r="F99" s="326">
        <v>50</v>
      </c>
      <c r="G99" s="330" t="s">
        <v>2416</v>
      </c>
      <c r="H99" s="330" t="s">
        <v>633</v>
      </c>
      <c r="I99" s="326"/>
      <c r="J99" s="326"/>
      <c r="K99" s="341">
        <f t="shared" si="1"/>
        <v>0</v>
      </c>
      <c r="L99" s="341">
        <v>0</v>
      </c>
      <c r="M99" s="341"/>
      <c r="N99" s="341">
        <v>0</v>
      </c>
      <c r="O99" s="232"/>
      <c r="P99" s="232"/>
      <c r="Q99" s="232"/>
      <c r="R99" s="232"/>
      <c r="S99" s="232"/>
      <c r="T99" s="232"/>
    </row>
    <row r="100" spans="1:20">
      <c r="A100" s="174">
        <v>305</v>
      </c>
      <c r="B100" s="326">
        <v>100</v>
      </c>
      <c r="C100" s="326">
        <v>50</v>
      </c>
      <c r="D100" s="326">
        <v>100</v>
      </c>
      <c r="E100" s="325">
        <v>20</v>
      </c>
      <c r="F100" s="326">
        <v>55</v>
      </c>
      <c r="G100" s="330" t="s">
        <v>2417</v>
      </c>
      <c r="H100" s="330" t="s">
        <v>634</v>
      </c>
      <c r="I100" s="326"/>
      <c r="J100" s="326"/>
      <c r="K100" s="334">
        <f t="shared" si="1"/>
        <v>0</v>
      </c>
      <c r="L100" s="334">
        <v>0</v>
      </c>
      <c r="M100" s="334"/>
      <c r="N100" s="334">
        <v>0</v>
      </c>
      <c r="O100" s="232"/>
      <c r="P100" s="232"/>
      <c r="Q100" s="232"/>
      <c r="R100" s="232"/>
      <c r="S100" s="232"/>
      <c r="T100" s="232"/>
    </row>
    <row r="101" spans="1:20">
      <c r="A101" s="174">
        <v>305</v>
      </c>
      <c r="B101" s="326">
        <v>100</v>
      </c>
      <c r="C101" s="326">
        <v>50</v>
      </c>
      <c r="D101" s="326">
        <v>100</v>
      </c>
      <c r="E101" s="326">
        <v>30</v>
      </c>
      <c r="F101" s="326">
        <v>0</v>
      </c>
      <c r="G101" s="331" t="s">
        <v>2418</v>
      </c>
      <c r="H101" s="331" t="s">
        <v>637</v>
      </c>
      <c r="I101" s="326" t="s">
        <v>638</v>
      </c>
      <c r="J101" s="325"/>
      <c r="K101" s="335">
        <f t="shared" si="1"/>
        <v>0</v>
      </c>
      <c r="L101" s="335">
        <v>0</v>
      </c>
      <c r="M101" s="335"/>
      <c r="N101" s="335">
        <v>0</v>
      </c>
      <c r="O101" s="232"/>
      <c r="P101" s="232"/>
      <c r="Q101" s="232"/>
      <c r="R101" s="232"/>
      <c r="S101" s="232"/>
      <c r="T101" s="232"/>
    </row>
    <row r="102" spans="1:20" ht="25.5">
      <c r="A102" s="174">
        <v>305</v>
      </c>
      <c r="B102" s="326">
        <v>100</v>
      </c>
      <c r="C102" s="326">
        <v>50</v>
      </c>
      <c r="D102" s="326">
        <v>100</v>
      </c>
      <c r="E102" s="326">
        <v>30</v>
      </c>
      <c r="F102" s="326">
        <v>5</v>
      </c>
      <c r="G102" s="330" t="s">
        <v>2419</v>
      </c>
      <c r="H102" s="330" t="s">
        <v>639</v>
      </c>
      <c r="I102" s="326"/>
      <c r="J102" s="326"/>
      <c r="K102" s="341">
        <f t="shared" si="1"/>
        <v>0</v>
      </c>
      <c r="L102" s="341">
        <v>0</v>
      </c>
      <c r="M102" s="341"/>
      <c r="N102" s="341">
        <v>0</v>
      </c>
      <c r="O102" s="232"/>
      <c r="P102" s="232"/>
      <c r="Q102" s="232"/>
      <c r="R102" s="232"/>
      <c r="S102" s="232"/>
      <c r="T102" s="232"/>
    </row>
    <row r="103" spans="1:20" ht="25.5">
      <c r="A103" s="174">
        <v>305</v>
      </c>
      <c r="B103" s="326">
        <v>100</v>
      </c>
      <c r="C103" s="326">
        <v>50</v>
      </c>
      <c r="D103" s="326">
        <v>100</v>
      </c>
      <c r="E103" s="326">
        <v>30</v>
      </c>
      <c r="F103" s="326">
        <v>10</v>
      </c>
      <c r="G103" s="330" t="s">
        <v>2420</v>
      </c>
      <c r="H103" s="330" t="s">
        <v>640</v>
      </c>
      <c r="I103" s="326"/>
      <c r="J103" s="326"/>
      <c r="K103" s="341">
        <f t="shared" si="1"/>
        <v>0</v>
      </c>
      <c r="L103" s="341">
        <v>0</v>
      </c>
      <c r="M103" s="341"/>
      <c r="N103" s="341">
        <v>0</v>
      </c>
      <c r="O103" s="232"/>
      <c r="P103" s="232"/>
      <c r="Q103" s="232"/>
      <c r="R103" s="232"/>
      <c r="S103" s="232"/>
      <c r="T103" s="232"/>
    </row>
    <row r="104" spans="1:20">
      <c r="A104" s="174">
        <v>305</v>
      </c>
      <c r="B104" s="326">
        <v>100</v>
      </c>
      <c r="C104" s="326">
        <v>50</v>
      </c>
      <c r="D104" s="326">
        <v>100</v>
      </c>
      <c r="E104" s="326">
        <v>30</v>
      </c>
      <c r="F104" s="326">
        <v>15</v>
      </c>
      <c r="G104" s="330" t="s">
        <v>2421</v>
      </c>
      <c r="H104" s="330" t="s">
        <v>641</v>
      </c>
      <c r="I104" s="326"/>
      <c r="J104" s="326"/>
      <c r="K104" s="334">
        <f t="shared" si="1"/>
        <v>0</v>
      </c>
      <c r="L104" s="334">
        <v>0</v>
      </c>
      <c r="M104" s="334"/>
      <c r="N104" s="334">
        <v>0</v>
      </c>
      <c r="O104" s="232"/>
      <c r="P104" s="232"/>
      <c r="Q104" s="232"/>
      <c r="R104" s="232"/>
      <c r="S104" s="232"/>
      <c r="T104" s="232"/>
    </row>
    <row r="105" spans="1:20" ht="25.5">
      <c r="A105" s="174">
        <v>305</v>
      </c>
      <c r="B105" s="326">
        <v>100</v>
      </c>
      <c r="C105" s="326">
        <v>50</v>
      </c>
      <c r="D105" s="326">
        <v>100</v>
      </c>
      <c r="E105" s="326">
        <v>30</v>
      </c>
      <c r="F105" s="326">
        <v>20</v>
      </c>
      <c r="G105" s="330" t="s">
        <v>2422</v>
      </c>
      <c r="H105" s="330" t="s">
        <v>642</v>
      </c>
      <c r="I105" s="326"/>
      <c r="J105" s="326"/>
      <c r="K105" s="341">
        <f t="shared" si="1"/>
        <v>0</v>
      </c>
      <c r="L105" s="341">
        <v>0</v>
      </c>
      <c r="M105" s="341"/>
      <c r="N105" s="341">
        <v>0</v>
      </c>
      <c r="O105" s="232"/>
      <c r="P105" s="232"/>
      <c r="Q105" s="232"/>
      <c r="R105" s="232"/>
      <c r="S105" s="232"/>
      <c r="T105" s="232"/>
    </row>
    <row r="106" spans="1:20" ht="25.5">
      <c r="A106" s="174">
        <v>305</v>
      </c>
      <c r="B106" s="326">
        <v>100</v>
      </c>
      <c r="C106" s="326">
        <v>50</v>
      </c>
      <c r="D106" s="326">
        <v>100</v>
      </c>
      <c r="E106" s="326">
        <v>30</v>
      </c>
      <c r="F106" s="326">
        <v>25</v>
      </c>
      <c r="G106" s="330" t="s">
        <v>2423</v>
      </c>
      <c r="H106" s="330" t="s">
        <v>643</v>
      </c>
      <c r="I106" s="326"/>
      <c r="J106" s="326"/>
      <c r="K106" s="341">
        <f t="shared" si="1"/>
        <v>0</v>
      </c>
      <c r="L106" s="341">
        <v>0</v>
      </c>
      <c r="M106" s="341"/>
      <c r="N106" s="341">
        <v>0</v>
      </c>
      <c r="O106" s="232"/>
      <c r="P106" s="232"/>
      <c r="Q106" s="232"/>
      <c r="R106" s="232"/>
      <c r="S106" s="232"/>
      <c r="T106" s="232"/>
    </row>
    <row r="107" spans="1:20" ht="25.5">
      <c r="A107" s="174">
        <v>305</v>
      </c>
      <c r="B107" s="326">
        <v>100</v>
      </c>
      <c r="C107" s="326">
        <v>50</v>
      </c>
      <c r="D107" s="326">
        <v>100</v>
      </c>
      <c r="E107" s="326">
        <v>30</v>
      </c>
      <c r="F107" s="326">
        <v>30</v>
      </c>
      <c r="G107" s="330" t="s">
        <v>2424</v>
      </c>
      <c r="H107" s="330" t="s">
        <v>644</v>
      </c>
      <c r="I107" s="326"/>
      <c r="J107" s="326"/>
      <c r="K107" s="334">
        <f t="shared" si="1"/>
        <v>0</v>
      </c>
      <c r="L107" s="334">
        <v>0</v>
      </c>
      <c r="M107" s="334"/>
      <c r="N107" s="334">
        <v>0</v>
      </c>
      <c r="O107" s="232"/>
      <c r="P107" s="232"/>
      <c r="Q107" s="232"/>
      <c r="R107" s="232"/>
      <c r="S107" s="232"/>
      <c r="T107" s="232"/>
    </row>
    <row r="108" spans="1:20" ht="25.5">
      <c r="A108" s="174">
        <v>305</v>
      </c>
      <c r="B108" s="326">
        <v>100</v>
      </c>
      <c r="C108" s="326">
        <v>50</v>
      </c>
      <c r="D108" s="326">
        <v>100</v>
      </c>
      <c r="E108" s="326">
        <v>30</v>
      </c>
      <c r="F108" s="326">
        <v>35</v>
      </c>
      <c r="G108" s="330" t="s">
        <v>2425</v>
      </c>
      <c r="H108" s="330" t="s">
        <v>645</v>
      </c>
      <c r="I108" s="326"/>
      <c r="J108" s="326"/>
      <c r="K108" s="341">
        <f t="shared" si="1"/>
        <v>0</v>
      </c>
      <c r="L108" s="341">
        <v>0</v>
      </c>
      <c r="M108" s="341"/>
      <c r="N108" s="341">
        <v>0</v>
      </c>
      <c r="O108" s="232"/>
      <c r="P108" s="232"/>
      <c r="Q108" s="232"/>
      <c r="R108" s="232"/>
      <c r="S108" s="232"/>
      <c r="T108" s="232"/>
    </row>
    <row r="109" spans="1:20">
      <c r="A109" s="174">
        <v>305</v>
      </c>
      <c r="B109" s="326">
        <v>100</v>
      </c>
      <c r="C109" s="326">
        <v>50</v>
      </c>
      <c r="D109" s="326">
        <v>100</v>
      </c>
      <c r="E109" s="326">
        <v>30</v>
      </c>
      <c r="F109" s="326">
        <v>40</v>
      </c>
      <c r="G109" s="330" t="s">
        <v>2426</v>
      </c>
      <c r="H109" s="330" t="s">
        <v>646</v>
      </c>
      <c r="I109" s="326"/>
      <c r="J109" s="326"/>
      <c r="K109" s="341">
        <f t="shared" si="1"/>
        <v>0</v>
      </c>
      <c r="L109" s="341">
        <v>0</v>
      </c>
      <c r="M109" s="341"/>
      <c r="N109" s="341">
        <v>0</v>
      </c>
      <c r="O109" s="232"/>
      <c r="P109" s="232"/>
      <c r="Q109" s="232"/>
      <c r="R109" s="232"/>
      <c r="S109" s="232"/>
      <c r="T109" s="232"/>
    </row>
    <row r="110" spans="1:20" ht="25.5">
      <c r="A110" s="174">
        <v>305</v>
      </c>
      <c r="B110" s="326">
        <v>100</v>
      </c>
      <c r="C110" s="326">
        <v>50</v>
      </c>
      <c r="D110" s="326">
        <v>100</v>
      </c>
      <c r="E110" s="326">
        <v>30</v>
      </c>
      <c r="F110" s="326">
        <v>45</v>
      </c>
      <c r="G110" s="330" t="s">
        <v>2427</v>
      </c>
      <c r="H110" s="330" t="s">
        <v>647</v>
      </c>
      <c r="I110" s="326"/>
      <c r="J110" s="326"/>
      <c r="K110" s="334">
        <f t="shared" si="1"/>
        <v>0</v>
      </c>
      <c r="L110" s="334">
        <v>0</v>
      </c>
      <c r="M110" s="334"/>
      <c r="N110" s="334">
        <v>0</v>
      </c>
      <c r="O110" s="232"/>
      <c r="P110" s="232"/>
      <c r="Q110" s="232"/>
      <c r="R110" s="232"/>
      <c r="S110" s="232"/>
      <c r="T110" s="232"/>
    </row>
    <row r="111" spans="1:20" ht="25.5">
      <c r="A111" s="174">
        <v>305</v>
      </c>
      <c r="B111" s="326">
        <v>100</v>
      </c>
      <c r="C111" s="326">
        <v>50</v>
      </c>
      <c r="D111" s="326">
        <v>100</v>
      </c>
      <c r="E111" s="326">
        <v>30</v>
      </c>
      <c r="F111" s="326">
        <v>50</v>
      </c>
      <c r="G111" s="330" t="s">
        <v>2428</v>
      </c>
      <c r="H111" s="330" t="s">
        <v>648</v>
      </c>
      <c r="I111" s="326"/>
      <c r="J111" s="326"/>
      <c r="K111" s="341">
        <f t="shared" si="1"/>
        <v>0</v>
      </c>
      <c r="L111" s="341">
        <v>0</v>
      </c>
      <c r="M111" s="341"/>
      <c r="N111" s="341">
        <v>0</v>
      </c>
      <c r="O111" s="232"/>
      <c r="P111" s="232"/>
      <c r="Q111" s="232"/>
      <c r="R111" s="232"/>
      <c r="S111" s="232"/>
      <c r="T111" s="232"/>
    </row>
    <row r="112" spans="1:20" ht="25.5">
      <c r="A112" s="174">
        <v>305</v>
      </c>
      <c r="B112" s="326">
        <v>100</v>
      </c>
      <c r="C112" s="326">
        <v>50</v>
      </c>
      <c r="D112" s="326">
        <v>100</v>
      </c>
      <c r="E112" s="326">
        <v>30</v>
      </c>
      <c r="F112" s="326">
        <v>55</v>
      </c>
      <c r="G112" s="330" t="s">
        <v>2429</v>
      </c>
      <c r="H112" s="330" t="s">
        <v>649</v>
      </c>
      <c r="I112" s="326"/>
      <c r="J112" s="326"/>
      <c r="K112" s="341">
        <f t="shared" si="1"/>
        <v>0</v>
      </c>
      <c r="L112" s="341">
        <v>0</v>
      </c>
      <c r="M112" s="341"/>
      <c r="N112" s="341">
        <v>0</v>
      </c>
      <c r="O112" s="232"/>
      <c r="P112" s="232"/>
      <c r="Q112" s="232"/>
      <c r="R112" s="232"/>
      <c r="S112" s="232"/>
      <c r="T112" s="232"/>
    </row>
    <row r="113" spans="1:20" ht="25.5">
      <c r="A113" s="174">
        <v>305</v>
      </c>
      <c r="B113" s="326">
        <v>100</v>
      </c>
      <c r="C113" s="326">
        <v>50</v>
      </c>
      <c r="D113" s="326">
        <v>100</v>
      </c>
      <c r="E113" s="326">
        <v>30</v>
      </c>
      <c r="F113" s="326">
        <v>60</v>
      </c>
      <c r="G113" s="330" t="s">
        <v>2430</v>
      </c>
      <c r="H113" s="330" t="s">
        <v>650</v>
      </c>
      <c r="I113" s="326"/>
      <c r="J113" s="326"/>
      <c r="K113" s="341">
        <f t="shared" si="1"/>
        <v>0</v>
      </c>
      <c r="L113" s="341">
        <v>0</v>
      </c>
      <c r="M113" s="341"/>
      <c r="N113" s="341">
        <v>0</v>
      </c>
      <c r="O113" s="232"/>
      <c r="P113" s="232"/>
      <c r="Q113" s="232"/>
      <c r="R113" s="232"/>
      <c r="S113" s="232"/>
      <c r="T113" s="232"/>
    </row>
    <row r="114" spans="1:20" ht="25.5">
      <c r="A114" s="174">
        <v>305</v>
      </c>
      <c r="B114" s="326">
        <v>100</v>
      </c>
      <c r="C114" s="326">
        <v>50</v>
      </c>
      <c r="D114" s="326">
        <v>100</v>
      </c>
      <c r="E114" s="326">
        <v>30</v>
      </c>
      <c r="F114" s="326">
        <v>65</v>
      </c>
      <c r="G114" s="330" t="s">
        <v>2431</v>
      </c>
      <c r="H114" s="330" t="s">
        <v>651</v>
      </c>
      <c r="I114" s="326"/>
      <c r="J114" s="326"/>
      <c r="K114" s="341">
        <f t="shared" si="1"/>
        <v>0</v>
      </c>
      <c r="L114" s="341">
        <v>0</v>
      </c>
      <c r="M114" s="341"/>
      <c r="N114" s="341">
        <v>0</v>
      </c>
      <c r="O114" s="232"/>
      <c r="P114" s="232"/>
      <c r="Q114" s="232"/>
      <c r="R114" s="232"/>
      <c r="S114" s="232"/>
      <c r="T114" s="232"/>
    </row>
    <row r="115" spans="1:20">
      <c r="A115" s="174">
        <v>305</v>
      </c>
      <c r="B115" s="326">
        <v>100</v>
      </c>
      <c r="C115" s="326">
        <v>50</v>
      </c>
      <c r="D115" s="326">
        <v>100</v>
      </c>
      <c r="E115" s="326">
        <v>30</v>
      </c>
      <c r="F115" s="326">
        <v>70</v>
      </c>
      <c r="G115" s="330" t="s">
        <v>2432</v>
      </c>
      <c r="H115" s="330" t="s">
        <v>652</v>
      </c>
      <c r="I115" s="326"/>
      <c r="J115" s="326"/>
      <c r="K115" s="334">
        <f t="shared" si="1"/>
        <v>0</v>
      </c>
      <c r="L115" s="334">
        <v>0</v>
      </c>
      <c r="M115" s="334"/>
      <c r="N115" s="334">
        <v>0</v>
      </c>
      <c r="O115" s="232"/>
      <c r="P115" s="232"/>
      <c r="Q115" s="232"/>
      <c r="R115" s="232"/>
      <c r="S115" s="232"/>
      <c r="T115" s="232"/>
    </row>
    <row r="116" spans="1:20">
      <c r="A116" s="174">
        <v>305</v>
      </c>
      <c r="B116" s="326">
        <v>100</v>
      </c>
      <c r="C116" s="326">
        <v>50</v>
      </c>
      <c r="D116" s="326">
        <v>100</v>
      </c>
      <c r="E116" s="326">
        <v>40</v>
      </c>
      <c r="F116" s="326">
        <v>0</v>
      </c>
      <c r="G116" s="331" t="s">
        <v>2433</v>
      </c>
      <c r="H116" s="331" t="s">
        <v>653</v>
      </c>
      <c r="I116" s="326" t="s">
        <v>654</v>
      </c>
      <c r="J116" s="325"/>
      <c r="K116" s="335">
        <f t="shared" si="1"/>
        <v>0</v>
      </c>
      <c r="L116" s="335">
        <v>0</v>
      </c>
      <c r="M116" s="335"/>
      <c r="N116" s="335">
        <v>0</v>
      </c>
      <c r="O116" s="232"/>
      <c r="P116" s="232"/>
      <c r="Q116" s="232"/>
      <c r="R116" s="232"/>
      <c r="S116" s="232"/>
      <c r="T116" s="232"/>
    </row>
    <row r="117" spans="1:20">
      <c r="A117" s="174">
        <v>305</v>
      </c>
      <c r="B117" s="326">
        <v>100</v>
      </c>
      <c r="C117" s="326">
        <v>50</v>
      </c>
      <c r="D117" s="326">
        <v>100</v>
      </c>
      <c r="E117" s="326">
        <v>40</v>
      </c>
      <c r="F117" s="326">
        <v>5</v>
      </c>
      <c r="G117" s="330" t="s">
        <v>2434</v>
      </c>
      <c r="H117" s="330" t="s">
        <v>655</v>
      </c>
      <c r="I117" s="326"/>
      <c r="J117" s="326"/>
      <c r="K117" s="341">
        <f t="shared" si="1"/>
        <v>0</v>
      </c>
      <c r="L117" s="341">
        <v>0</v>
      </c>
      <c r="M117" s="341"/>
      <c r="N117" s="341">
        <v>0</v>
      </c>
      <c r="O117" s="232"/>
      <c r="P117" s="232"/>
      <c r="Q117" s="232"/>
      <c r="R117" s="232"/>
      <c r="S117" s="232"/>
      <c r="T117" s="232"/>
    </row>
    <row r="118" spans="1:20">
      <c r="A118" s="174">
        <v>305</v>
      </c>
      <c r="B118" s="326">
        <v>100</v>
      </c>
      <c r="C118" s="326">
        <v>50</v>
      </c>
      <c r="D118" s="326">
        <v>100</v>
      </c>
      <c r="E118" s="326">
        <v>40</v>
      </c>
      <c r="F118" s="326">
        <v>10</v>
      </c>
      <c r="G118" s="330" t="s">
        <v>2435</v>
      </c>
      <c r="H118" s="330" t="s">
        <v>625</v>
      </c>
      <c r="I118" s="326"/>
      <c r="J118" s="326"/>
      <c r="K118" s="334">
        <f t="shared" si="1"/>
        <v>0</v>
      </c>
      <c r="L118" s="334">
        <v>0</v>
      </c>
      <c r="M118" s="334"/>
      <c r="N118" s="334">
        <v>0</v>
      </c>
      <c r="O118" s="232"/>
      <c r="P118" s="232"/>
      <c r="Q118" s="232"/>
      <c r="R118" s="232"/>
      <c r="S118" s="232"/>
      <c r="T118" s="232"/>
    </row>
    <row r="119" spans="1:20">
      <c r="A119" s="174">
        <v>305</v>
      </c>
      <c r="B119" s="326">
        <v>100</v>
      </c>
      <c r="C119" s="326">
        <v>50</v>
      </c>
      <c r="D119" s="326">
        <v>100</v>
      </c>
      <c r="E119" s="326">
        <v>40</v>
      </c>
      <c r="F119" s="326">
        <v>15</v>
      </c>
      <c r="G119" s="330" t="s">
        <v>2436</v>
      </c>
      <c r="H119" s="330" t="s">
        <v>628</v>
      </c>
      <c r="I119" s="326"/>
      <c r="J119" s="326"/>
      <c r="K119" s="341">
        <f t="shared" si="1"/>
        <v>0</v>
      </c>
      <c r="L119" s="341">
        <v>0</v>
      </c>
      <c r="M119" s="341"/>
      <c r="N119" s="341">
        <v>0</v>
      </c>
      <c r="O119" s="232"/>
      <c r="P119" s="232"/>
      <c r="Q119" s="232"/>
      <c r="R119" s="232"/>
      <c r="S119" s="232"/>
      <c r="T119" s="232"/>
    </row>
    <row r="120" spans="1:20">
      <c r="A120" s="174">
        <v>305</v>
      </c>
      <c r="B120" s="326">
        <v>100</v>
      </c>
      <c r="C120" s="326">
        <v>50</v>
      </c>
      <c r="D120" s="326">
        <v>100</v>
      </c>
      <c r="E120" s="326">
        <v>40</v>
      </c>
      <c r="F120" s="326">
        <v>20</v>
      </c>
      <c r="G120" s="330" t="s">
        <v>2437</v>
      </c>
      <c r="H120" s="330" t="s">
        <v>629</v>
      </c>
      <c r="I120" s="326"/>
      <c r="J120" s="326"/>
      <c r="K120" s="341">
        <f t="shared" si="1"/>
        <v>0</v>
      </c>
      <c r="L120" s="341">
        <v>0</v>
      </c>
      <c r="M120" s="341"/>
      <c r="N120" s="341">
        <v>0</v>
      </c>
      <c r="O120" s="232"/>
      <c r="P120" s="232"/>
      <c r="Q120" s="232"/>
      <c r="R120" s="232"/>
      <c r="S120" s="232"/>
      <c r="T120" s="232"/>
    </row>
    <row r="121" spans="1:20">
      <c r="A121" s="174">
        <v>305</v>
      </c>
      <c r="B121" s="326">
        <v>100</v>
      </c>
      <c r="C121" s="326">
        <v>50</v>
      </c>
      <c r="D121" s="326">
        <v>100</v>
      </c>
      <c r="E121" s="326">
        <v>40</v>
      </c>
      <c r="F121" s="326">
        <v>25</v>
      </c>
      <c r="G121" s="330" t="s">
        <v>2438</v>
      </c>
      <c r="H121" s="330" t="s">
        <v>630</v>
      </c>
      <c r="I121" s="326"/>
      <c r="J121" s="326"/>
      <c r="K121" s="334">
        <f t="shared" si="1"/>
        <v>0</v>
      </c>
      <c r="L121" s="334">
        <v>0</v>
      </c>
      <c r="M121" s="334"/>
      <c r="N121" s="334">
        <v>0</v>
      </c>
      <c r="O121" s="232"/>
      <c r="P121" s="232"/>
      <c r="Q121" s="232"/>
      <c r="R121" s="232"/>
      <c r="S121" s="232"/>
      <c r="T121" s="232"/>
    </row>
    <row r="122" spans="1:20">
      <c r="A122" s="174">
        <v>305</v>
      </c>
      <c r="B122" s="326">
        <v>100</v>
      </c>
      <c r="C122" s="326">
        <v>50</v>
      </c>
      <c r="D122" s="326">
        <v>100</v>
      </c>
      <c r="E122" s="326">
        <v>40</v>
      </c>
      <c r="F122" s="326">
        <v>30</v>
      </c>
      <c r="G122" s="330" t="s">
        <v>2439</v>
      </c>
      <c r="H122" s="330" t="s">
        <v>633</v>
      </c>
      <c r="I122" s="326"/>
      <c r="J122" s="326"/>
      <c r="K122" s="341">
        <f t="shared" si="1"/>
        <v>0</v>
      </c>
      <c r="L122" s="341">
        <v>0</v>
      </c>
      <c r="M122" s="341"/>
      <c r="N122" s="341">
        <v>0</v>
      </c>
      <c r="O122" s="232"/>
      <c r="P122" s="232"/>
      <c r="Q122" s="232"/>
      <c r="R122" s="232"/>
      <c r="S122" s="232"/>
      <c r="T122" s="232"/>
    </row>
    <row r="123" spans="1:20">
      <c r="A123" s="174">
        <v>305</v>
      </c>
      <c r="B123" s="326">
        <v>100</v>
      </c>
      <c r="C123" s="326">
        <v>50</v>
      </c>
      <c r="D123" s="326">
        <v>100</v>
      </c>
      <c r="E123" s="326">
        <v>40</v>
      </c>
      <c r="F123" s="326">
        <v>35</v>
      </c>
      <c r="G123" s="330" t="s">
        <v>2440</v>
      </c>
      <c r="H123" s="330" t="s">
        <v>634</v>
      </c>
      <c r="I123" s="326"/>
      <c r="J123" s="326"/>
      <c r="K123" s="334">
        <f t="shared" si="1"/>
        <v>0</v>
      </c>
      <c r="L123" s="334">
        <v>0</v>
      </c>
      <c r="M123" s="334"/>
      <c r="N123" s="334">
        <v>0</v>
      </c>
      <c r="O123" s="232"/>
      <c r="P123" s="232"/>
      <c r="Q123" s="232"/>
      <c r="R123" s="232"/>
      <c r="S123" s="232"/>
      <c r="T123" s="232"/>
    </row>
    <row r="124" spans="1:20">
      <c r="A124" s="174">
        <v>305</v>
      </c>
      <c r="B124" s="326">
        <v>100</v>
      </c>
      <c r="C124" s="326">
        <v>50</v>
      </c>
      <c r="D124" s="326">
        <v>100</v>
      </c>
      <c r="E124" s="326">
        <v>40</v>
      </c>
      <c r="F124" s="326">
        <v>40</v>
      </c>
      <c r="G124" s="330" t="s">
        <v>2441</v>
      </c>
      <c r="H124" s="330" t="s">
        <v>656</v>
      </c>
      <c r="I124" s="326"/>
      <c r="J124" s="326"/>
      <c r="K124" s="341">
        <f t="shared" si="1"/>
        <v>0</v>
      </c>
      <c r="L124" s="341">
        <v>0</v>
      </c>
      <c r="M124" s="341"/>
      <c r="N124" s="341">
        <v>0</v>
      </c>
      <c r="O124" s="232"/>
      <c r="P124" s="232"/>
      <c r="Q124" s="232"/>
      <c r="R124" s="232"/>
      <c r="S124" s="232"/>
      <c r="T124" s="232"/>
    </row>
    <row r="125" spans="1:20" ht="25.5">
      <c r="A125" s="174">
        <v>305</v>
      </c>
      <c r="B125" s="326">
        <v>100</v>
      </c>
      <c r="C125" s="326">
        <v>50</v>
      </c>
      <c r="D125" s="326">
        <v>200</v>
      </c>
      <c r="E125" s="326">
        <v>0</v>
      </c>
      <c r="F125" s="326">
        <v>0</v>
      </c>
      <c r="G125" s="330" t="s">
        <v>2442</v>
      </c>
      <c r="H125" s="330" t="s">
        <v>657</v>
      </c>
      <c r="I125" s="332" t="s">
        <v>658</v>
      </c>
      <c r="J125" s="332" t="s">
        <v>1530</v>
      </c>
      <c r="K125" s="334">
        <f t="shared" si="1"/>
        <v>0</v>
      </c>
      <c r="L125" s="334">
        <v>0</v>
      </c>
      <c r="M125" s="334"/>
      <c r="N125" s="334">
        <v>0</v>
      </c>
      <c r="O125" s="232"/>
      <c r="P125" s="232"/>
      <c r="Q125" s="232"/>
      <c r="R125" s="232"/>
      <c r="S125" s="232"/>
      <c r="T125" s="232"/>
    </row>
    <row r="126" spans="1:20" ht="25.5">
      <c r="A126" s="174">
        <v>305</v>
      </c>
      <c r="B126" s="326">
        <v>100</v>
      </c>
      <c r="C126" s="326">
        <v>50</v>
      </c>
      <c r="D126" s="326">
        <v>300</v>
      </c>
      <c r="E126" s="326">
        <v>0</v>
      </c>
      <c r="F126" s="326">
        <v>0</v>
      </c>
      <c r="G126" s="330" t="s">
        <v>2443</v>
      </c>
      <c r="H126" s="330" t="s">
        <v>659</v>
      </c>
      <c r="I126" s="326" t="s">
        <v>660</v>
      </c>
      <c r="J126" s="326" t="s">
        <v>1575</v>
      </c>
      <c r="K126" s="341">
        <f t="shared" si="1"/>
        <v>0</v>
      </c>
      <c r="L126" s="341">
        <v>0</v>
      </c>
      <c r="M126" s="341"/>
      <c r="N126" s="341">
        <v>0</v>
      </c>
      <c r="O126" s="232"/>
      <c r="P126" s="232"/>
      <c r="Q126" s="232"/>
      <c r="R126" s="232"/>
      <c r="S126" s="232"/>
      <c r="T126" s="232"/>
    </row>
    <row r="127" spans="1:20">
      <c r="A127" s="174">
        <v>305</v>
      </c>
      <c r="B127" s="326">
        <v>100</v>
      </c>
      <c r="C127" s="326">
        <v>100</v>
      </c>
      <c r="D127" s="326">
        <v>0</v>
      </c>
      <c r="E127" s="326">
        <v>0</v>
      </c>
      <c r="F127" s="326">
        <v>0</v>
      </c>
      <c r="G127" s="331" t="s">
        <v>2444</v>
      </c>
      <c r="H127" s="331" t="s">
        <v>661</v>
      </c>
      <c r="I127" s="326" t="s">
        <v>662</v>
      </c>
      <c r="J127" s="325"/>
      <c r="K127" s="335">
        <f t="shared" si="1"/>
        <v>0</v>
      </c>
      <c r="L127" s="335">
        <v>0</v>
      </c>
      <c r="M127" s="335"/>
      <c r="N127" s="335">
        <v>0</v>
      </c>
      <c r="O127" s="232"/>
      <c r="P127" s="232"/>
      <c r="Q127" s="232"/>
      <c r="R127" s="232"/>
      <c r="S127" s="232"/>
      <c r="T127" s="232"/>
    </row>
    <row r="128" spans="1:20">
      <c r="A128" s="174">
        <v>305</v>
      </c>
      <c r="B128" s="326">
        <v>100</v>
      </c>
      <c r="C128" s="326">
        <v>100</v>
      </c>
      <c r="D128" s="326">
        <v>100</v>
      </c>
      <c r="E128" s="326">
        <v>0</v>
      </c>
      <c r="F128" s="326">
        <v>0</v>
      </c>
      <c r="G128" s="340" t="s">
        <v>2445</v>
      </c>
      <c r="H128" s="340" t="s">
        <v>620</v>
      </c>
      <c r="I128" s="326" t="s">
        <v>663</v>
      </c>
      <c r="J128" s="325"/>
      <c r="K128" s="335">
        <f t="shared" si="1"/>
        <v>0</v>
      </c>
      <c r="L128" s="335">
        <v>0</v>
      </c>
      <c r="M128" s="335"/>
      <c r="N128" s="335">
        <v>0</v>
      </c>
      <c r="O128" s="232"/>
      <c r="P128" s="232"/>
      <c r="Q128" s="232"/>
      <c r="R128" s="232"/>
      <c r="S128" s="232"/>
      <c r="T128" s="232"/>
    </row>
    <row r="129" spans="1:20">
      <c r="A129" s="174">
        <v>305</v>
      </c>
      <c r="B129" s="326">
        <v>100</v>
      </c>
      <c r="C129" s="326">
        <v>100</v>
      </c>
      <c r="D129" s="326">
        <v>100</v>
      </c>
      <c r="E129" s="326">
        <v>10</v>
      </c>
      <c r="F129" s="326">
        <v>0</v>
      </c>
      <c r="G129" s="330" t="s">
        <v>2446</v>
      </c>
      <c r="H129" s="330" t="s">
        <v>664</v>
      </c>
      <c r="I129" s="326"/>
      <c r="J129" s="326"/>
      <c r="K129" s="334">
        <f t="shared" si="1"/>
        <v>0</v>
      </c>
      <c r="L129" s="334">
        <v>0</v>
      </c>
      <c r="M129" s="334"/>
      <c r="N129" s="334">
        <v>0</v>
      </c>
      <c r="O129" s="232"/>
      <c r="P129" s="232"/>
      <c r="Q129" s="232"/>
      <c r="R129" s="232"/>
      <c r="S129" s="232"/>
      <c r="T129" s="232"/>
    </row>
    <row r="130" spans="1:20">
      <c r="A130" s="174">
        <v>305</v>
      </c>
      <c r="B130" s="326">
        <v>100</v>
      </c>
      <c r="C130" s="326">
        <v>100</v>
      </c>
      <c r="D130" s="326">
        <v>100</v>
      </c>
      <c r="E130" s="326">
        <v>20</v>
      </c>
      <c r="F130" s="326">
        <v>0</v>
      </c>
      <c r="G130" s="330" t="s">
        <v>2447</v>
      </c>
      <c r="H130" s="330" t="s">
        <v>665</v>
      </c>
      <c r="I130" s="326"/>
      <c r="J130" s="326"/>
      <c r="K130" s="334">
        <f t="shared" si="1"/>
        <v>0</v>
      </c>
      <c r="L130" s="334">
        <v>0</v>
      </c>
      <c r="M130" s="334"/>
      <c r="N130" s="334">
        <v>0</v>
      </c>
      <c r="O130" s="232"/>
      <c r="P130" s="232"/>
      <c r="Q130" s="232"/>
      <c r="R130" s="232"/>
      <c r="S130" s="232"/>
      <c r="T130" s="232"/>
    </row>
    <row r="131" spans="1:20" ht="25.5">
      <c r="A131" s="174">
        <v>305</v>
      </c>
      <c r="B131" s="326">
        <v>100</v>
      </c>
      <c r="C131" s="326">
        <v>100</v>
      </c>
      <c r="D131" s="326">
        <v>200</v>
      </c>
      <c r="E131" s="326">
        <v>0</v>
      </c>
      <c r="F131" s="326">
        <v>0</v>
      </c>
      <c r="G131" s="330" t="s">
        <v>2448</v>
      </c>
      <c r="H131" s="330" t="s">
        <v>666</v>
      </c>
      <c r="I131" s="332" t="s">
        <v>667</v>
      </c>
      <c r="J131" s="332" t="s">
        <v>1530</v>
      </c>
      <c r="K131" s="334">
        <f t="shared" si="1"/>
        <v>0</v>
      </c>
      <c r="L131" s="334">
        <v>0</v>
      </c>
      <c r="M131" s="334"/>
      <c r="N131" s="334">
        <v>0</v>
      </c>
      <c r="O131" s="232"/>
      <c r="P131" s="232"/>
      <c r="Q131" s="232"/>
      <c r="R131" s="232"/>
      <c r="S131" s="232"/>
      <c r="T131" s="232"/>
    </row>
    <row r="132" spans="1:20">
      <c r="A132" s="174">
        <v>305</v>
      </c>
      <c r="B132" s="326">
        <v>100</v>
      </c>
      <c r="C132" s="326">
        <v>100</v>
      </c>
      <c r="D132" s="326">
        <v>300</v>
      </c>
      <c r="E132" s="326">
        <v>0</v>
      </c>
      <c r="F132" s="326">
        <v>0</v>
      </c>
      <c r="G132" s="330" t="s">
        <v>2449</v>
      </c>
      <c r="H132" s="330" t="s">
        <v>668</v>
      </c>
      <c r="I132" s="326" t="s">
        <v>669</v>
      </c>
      <c r="J132" s="326" t="s">
        <v>1575</v>
      </c>
      <c r="K132" s="334">
        <f t="shared" si="1"/>
        <v>0</v>
      </c>
      <c r="L132" s="334">
        <v>0</v>
      </c>
      <c r="M132" s="334"/>
      <c r="N132" s="334">
        <v>0</v>
      </c>
      <c r="O132" s="232"/>
      <c r="P132" s="232"/>
      <c r="Q132" s="232"/>
      <c r="R132" s="232"/>
      <c r="S132" s="232"/>
      <c r="T132" s="232"/>
    </row>
    <row r="133" spans="1:20" ht="25.5">
      <c r="A133" s="174">
        <v>305</v>
      </c>
      <c r="B133" s="326">
        <v>100</v>
      </c>
      <c r="C133" s="326">
        <v>150</v>
      </c>
      <c r="D133" s="326">
        <v>0</v>
      </c>
      <c r="E133" s="326">
        <v>0</v>
      </c>
      <c r="F133" s="326">
        <v>0</v>
      </c>
      <c r="G133" s="331" t="s">
        <v>2450</v>
      </c>
      <c r="H133" s="331" t="s">
        <v>670</v>
      </c>
      <c r="I133" s="326" t="s">
        <v>671</v>
      </c>
      <c r="J133" s="325"/>
      <c r="K133" s="335">
        <f t="shared" si="1"/>
        <v>0</v>
      </c>
      <c r="L133" s="335">
        <v>0</v>
      </c>
      <c r="M133" s="335"/>
      <c r="N133" s="335">
        <v>0</v>
      </c>
      <c r="O133" s="232"/>
      <c r="P133" s="232"/>
      <c r="Q133" s="232"/>
      <c r="R133" s="232"/>
      <c r="S133" s="232"/>
      <c r="T133" s="232"/>
    </row>
    <row r="134" spans="1:20">
      <c r="A134" s="174">
        <v>305</v>
      </c>
      <c r="B134" s="326">
        <v>100</v>
      </c>
      <c r="C134" s="326">
        <v>150</v>
      </c>
      <c r="D134" s="326">
        <v>100</v>
      </c>
      <c r="E134" s="326">
        <v>0</v>
      </c>
      <c r="F134" s="326">
        <v>0</v>
      </c>
      <c r="G134" s="340" t="s">
        <v>2451</v>
      </c>
      <c r="H134" s="340" t="s">
        <v>672</v>
      </c>
      <c r="I134" s="326" t="s">
        <v>673</v>
      </c>
      <c r="J134" s="325" t="s">
        <v>1530</v>
      </c>
      <c r="K134" s="335">
        <f t="shared" si="1"/>
        <v>0</v>
      </c>
      <c r="L134" s="335">
        <v>0</v>
      </c>
      <c r="M134" s="335"/>
      <c r="N134" s="335">
        <v>0</v>
      </c>
      <c r="O134" s="232"/>
      <c r="P134" s="232"/>
      <c r="Q134" s="232"/>
      <c r="R134" s="232"/>
      <c r="S134" s="232"/>
      <c r="T134" s="232"/>
    </row>
    <row r="135" spans="1:20" ht="25.5">
      <c r="A135" s="174">
        <v>305</v>
      </c>
      <c r="B135" s="326">
        <v>100</v>
      </c>
      <c r="C135" s="326">
        <v>150</v>
      </c>
      <c r="D135" s="326">
        <v>100</v>
      </c>
      <c r="E135" s="326">
        <v>10</v>
      </c>
      <c r="F135" s="326">
        <v>0</v>
      </c>
      <c r="G135" s="330" t="s">
        <v>2452</v>
      </c>
      <c r="H135" s="330" t="s">
        <v>674</v>
      </c>
      <c r="I135" s="326"/>
      <c r="J135" s="326" t="s">
        <v>1530</v>
      </c>
      <c r="K135" s="334">
        <f t="shared" ref="K135:K198" si="2">+L135+M135</f>
        <v>0</v>
      </c>
      <c r="L135" s="334">
        <v>0</v>
      </c>
      <c r="M135" s="334"/>
      <c r="N135" s="334">
        <v>0</v>
      </c>
      <c r="O135" s="232"/>
      <c r="P135" s="232"/>
      <c r="Q135" s="232"/>
      <c r="R135" s="232"/>
      <c r="S135" s="232"/>
      <c r="T135" s="232"/>
    </row>
    <row r="136" spans="1:20" ht="25.5">
      <c r="A136" s="174">
        <v>305</v>
      </c>
      <c r="B136" s="326">
        <v>100</v>
      </c>
      <c r="C136" s="326">
        <v>150</v>
      </c>
      <c r="D136" s="326">
        <v>100</v>
      </c>
      <c r="E136" s="326">
        <v>20</v>
      </c>
      <c r="F136" s="326">
        <v>0</v>
      </c>
      <c r="G136" s="330" t="s">
        <v>2453</v>
      </c>
      <c r="H136" s="330" t="s">
        <v>675</v>
      </c>
      <c r="I136" s="326"/>
      <c r="J136" s="326" t="s">
        <v>1530</v>
      </c>
      <c r="K136" s="334">
        <f t="shared" si="2"/>
        <v>419859.55</v>
      </c>
      <c r="L136" s="334">
        <v>419859.55</v>
      </c>
      <c r="M136" s="334"/>
      <c r="N136" s="334">
        <v>377142.89</v>
      </c>
      <c r="O136" s="232"/>
      <c r="P136" s="232"/>
      <c r="Q136" s="232"/>
      <c r="R136" s="232"/>
      <c r="S136" s="232"/>
      <c r="T136" s="232"/>
    </row>
    <row r="137" spans="1:20" ht="38.25">
      <c r="A137" s="174">
        <v>305</v>
      </c>
      <c r="B137" s="326">
        <v>100</v>
      </c>
      <c r="C137" s="326">
        <v>150</v>
      </c>
      <c r="D137" s="326">
        <v>150</v>
      </c>
      <c r="E137" s="326">
        <v>0</v>
      </c>
      <c r="F137" s="326">
        <v>0</v>
      </c>
      <c r="G137" s="330" t="s">
        <v>2454</v>
      </c>
      <c r="H137" s="330" t="s">
        <v>676</v>
      </c>
      <c r="I137" s="326" t="s">
        <v>677</v>
      </c>
      <c r="J137" s="326" t="s">
        <v>1530</v>
      </c>
      <c r="K137" s="334">
        <f t="shared" si="2"/>
        <v>0</v>
      </c>
      <c r="L137" s="334">
        <v>0</v>
      </c>
      <c r="M137" s="334"/>
      <c r="N137" s="334">
        <v>0</v>
      </c>
      <c r="O137" s="232"/>
      <c r="P137" s="232"/>
      <c r="Q137" s="232"/>
      <c r="R137" s="232"/>
      <c r="S137" s="232"/>
      <c r="T137" s="232"/>
    </row>
    <row r="138" spans="1:20">
      <c r="A138" s="174">
        <v>305</v>
      </c>
      <c r="B138" s="326">
        <v>100</v>
      </c>
      <c r="C138" s="326">
        <v>150</v>
      </c>
      <c r="D138" s="326">
        <v>200</v>
      </c>
      <c r="E138" s="326">
        <v>0</v>
      </c>
      <c r="F138" s="326">
        <v>0</v>
      </c>
      <c r="G138" s="330" t="s">
        <v>2455</v>
      </c>
      <c r="H138" s="330" t="s">
        <v>678</v>
      </c>
      <c r="I138" s="326" t="s">
        <v>679</v>
      </c>
      <c r="J138" s="326"/>
      <c r="K138" s="334">
        <f t="shared" si="2"/>
        <v>0</v>
      </c>
      <c r="L138" s="334">
        <v>0</v>
      </c>
      <c r="M138" s="334"/>
      <c r="N138" s="334">
        <v>0</v>
      </c>
      <c r="O138" s="232"/>
      <c r="P138" s="232"/>
      <c r="Q138" s="232"/>
      <c r="R138" s="232"/>
      <c r="S138" s="232"/>
      <c r="T138" s="232"/>
    </row>
    <row r="139" spans="1:20" ht="25.5">
      <c r="A139" s="174">
        <v>305</v>
      </c>
      <c r="B139" s="326">
        <v>100</v>
      </c>
      <c r="C139" s="326">
        <v>150</v>
      </c>
      <c r="D139" s="326">
        <v>250</v>
      </c>
      <c r="E139" s="326">
        <v>0</v>
      </c>
      <c r="F139" s="326">
        <v>0</v>
      </c>
      <c r="G139" s="330" t="s">
        <v>2456</v>
      </c>
      <c r="H139" s="330" t="s">
        <v>680</v>
      </c>
      <c r="I139" s="326" t="s">
        <v>681</v>
      </c>
      <c r="J139" s="325"/>
      <c r="K139" s="336">
        <f t="shared" si="2"/>
        <v>0</v>
      </c>
      <c r="L139" s="336">
        <v>0</v>
      </c>
      <c r="M139" s="336"/>
      <c r="N139" s="336">
        <v>0</v>
      </c>
      <c r="O139" s="232"/>
      <c r="P139" s="232"/>
      <c r="Q139" s="232"/>
      <c r="R139" s="232"/>
      <c r="S139" s="232"/>
      <c r="T139" s="232"/>
    </row>
    <row r="140" spans="1:20">
      <c r="A140" s="174">
        <v>305</v>
      </c>
      <c r="B140" s="326">
        <v>100</v>
      </c>
      <c r="C140" s="326">
        <v>150</v>
      </c>
      <c r="D140" s="326">
        <v>300</v>
      </c>
      <c r="E140" s="326">
        <v>0</v>
      </c>
      <c r="F140" s="326">
        <v>0</v>
      </c>
      <c r="G140" s="340" t="s">
        <v>2457</v>
      </c>
      <c r="H140" s="340" t="s">
        <v>668</v>
      </c>
      <c r="I140" s="326" t="s">
        <v>682</v>
      </c>
      <c r="J140" s="325" t="s">
        <v>1575</v>
      </c>
      <c r="K140" s="335">
        <f t="shared" si="2"/>
        <v>0</v>
      </c>
      <c r="L140" s="335">
        <v>0</v>
      </c>
      <c r="M140" s="335"/>
      <c r="N140" s="335">
        <v>0</v>
      </c>
      <c r="O140" s="232"/>
      <c r="P140" s="232"/>
      <c r="Q140" s="232"/>
      <c r="R140" s="232"/>
      <c r="S140" s="232"/>
      <c r="T140" s="232"/>
    </row>
    <row r="141" spans="1:20" ht="25.5">
      <c r="A141" s="174">
        <v>305</v>
      </c>
      <c r="B141" s="326">
        <v>100</v>
      </c>
      <c r="C141" s="326">
        <v>150</v>
      </c>
      <c r="D141" s="326">
        <v>300</v>
      </c>
      <c r="E141" s="326">
        <v>10</v>
      </c>
      <c r="F141" s="326">
        <v>0</v>
      </c>
      <c r="G141" s="330" t="s">
        <v>2458</v>
      </c>
      <c r="H141" s="330" t="s">
        <v>683</v>
      </c>
      <c r="I141" s="326"/>
      <c r="J141" s="326" t="s">
        <v>1575</v>
      </c>
      <c r="K141" s="334">
        <f t="shared" si="2"/>
        <v>0</v>
      </c>
      <c r="L141" s="334">
        <v>0</v>
      </c>
      <c r="M141" s="334"/>
      <c r="N141" s="334">
        <v>0</v>
      </c>
      <c r="O141" s="232"/>
      <c r="P141" s="232"/>
      <c r="Q141" s="232"/>
      <c r="R141" s="232"/>
      <c r="S141" s="232"/>
      <c r="T141" s="232"/>
    </row>
    <row r="142" spans="1:20" ht="25.5">
      <c r="A142" s="174">
        <v>305</v>
      </c>
      <c r="B142" s="326">
        <v>100</v>
      </c>
      <c r="C142" s="326">
        <v>150</v>
      </c>
      <c r="D142" s="326">
        <v>350</v>
      </c>
      <c r="E142" s="326">
        <v>0</v>
      </c>
      <c r="F142" s="326">
        <v>0</v>
      </c>
      <c r="G142" s="330" t="s">
        <v>2460</v>
      </c>
      <c r="H142" s="330" t="s">
        <v>685</v>
      </c>
      <c r="I142" s="326" t="s">
        <v>686</v>
      </c>
      <c r="J142" s="325" t="s">
        <v>1575</v>
      </c>
      <c r="K142" s="336">
        <f t="shared" si="2"/>
        <v>0</v>
      </c>
      <c r="L142" s="336">
        <v>0</v>
      </c>
      <c r="M142" s="336"/>
      <c r="N142" s="336">
        <v>0</v>
      </c>
      <c r="O142" s="232"/>
      <c r="P142" s="232"/>
      <c r="Q142" s="232"/>
      <c r="R142" s="232"/>
      <c r="S142" s="232"/>
      <c r="T142" s="232"/>
    </row>
    <row r="143" spans="1:20">
      <c r="A143" s="174">
        <v>305</v>
      </c>
      <c r="B143" s="326">
        <v>100</v>
      </c>
      <c r="C143" s="326">
        <v>150</v>
      </c>
      <c r="D143" s="326">
        <v>400</v>
      </c>
      <c r="E143" s="326">
        <v>0</v>
      </c>
      <c r="F143" s="326">
        <v>0</v>
      </c>
      <c r="G143" s="340" t="s">
        <v>2461</v>
      </c>
      <c r="H143" s="340" t="s">
        <v>687</v>
      </c>
      <c r="I143" s="326" t="s">
        <v>688</v>
      </c>
      <c r="J143" s="325"/>
      <c r="K143" s="335">
        <f t="shared" si="2"/>
        <v>0</v>
      </c>
      <c r="L143" s="335">
        <v>0</v>
      </c>
      <c r="M143" s="335"/>
      <c r="N143" s="335">
        <v>0</v>
      </c>
      <c r="O143" s="232"/>
      <c r="P143" s="232"/>
      <c r="Q143" s="232"/>
      <c r="R143" s="232"/>
      <c r="S143" s="232"/>
      <c r="T143" s="232"/>
    </row>
    <row r="144" spans="1:20">
      <c r="A144" s="174">
        <v>305</v>
      </c>
      <c r="B144" s="326">
        <v>100</v>
      </c>
      <c r="C144" s="326">
        <v>150</v>
      </c>
      <c r="D144" s="326">
        <v>400</v>
      </c>
      <c r="E144" s="326">
        <v>10</v>
      </c>
      <c r="F144" s="326">
        <v>0</v>
      </c>
      <c r="G144" s="330" t="s">
        <v>2462</v>
      </c>
      <c r="H144" s="330" t="s">
        <v>689</v>
      </c>
      <c r="I144" s="326"/>
      <c r="J144" s="326"/>
      <c r="K144" s="334">
        <f t="shared" si="2"/>
        <v>0</v>
      </c>
      <c r="L144" s="334">
        <v>0</v>
      </c>
      <c r="M144" s="334"/>
      <c r="N144" s="334">
        <v>0</v>
      </c>
      <c r="O144" s="232"/>
      <c r="P144" s="232"/>
      <c r="Q144" s="232"/>
      <c r="R144" s="232"/>
      <c r="S144" s="232"/>
      <c r="T144" s="232"/>
    </row>
    <row r="145" spans="1:20">
      <c r="A145" s="174">
        <v>305</v>
      </c>
      <c r="B145" s="326">
        <v>100</v>
      </c>
      <c r="C145" s="326">
        <v>150</v>
      </c>
      <c r="D145" s="326">
        <v>400</v>
      </c>
      <c r="E145" s="326">
        <v>20</v>
      </c>
      <c r="F145" s="326">
        <v>0</v>
      </c>
      <c r="G145" s="330" t="s">
        <v>2463</v>
      </c>
      <c r="H145" s="330" t="s">
        <v>690</v>
      </c>
      <c r="I145" s="326"/>
      <c r="J145" s="326"/>
      <c r="K145" s="334">
        <f t="shared" si="2"/>
        <v>0</v>
      </c>
      <c r="L145" s="334">
        <v>0</v>
      </c>
      <c r="M145" s="334"/>
      <c r="N145" s="334">
        <v>0</v>
      </c>
      <c r="O145" s="232"/>
      <c r="P145" s="232"/>
      <c r="Q145" s="232"/>
      <c r="R145" s="232"/>
      <c r="S145" s="232"/>
      <c r="T145" s="232"/>
    </row>
    <row r="146" spans="1:20">
      <c r="A146" s="174">
        <v>305</v>
      </c>
      <c r="B146" s="326">
        <v>100</v>
      </c>
      <c r="C146" s="326">
        <v>150</v>
      </c>
      <c r="D146" s="326">
        <v>400</v>
      </c>
      <c r="E146" s="326">
        <v>30</v>
      </c>
      <c r="F146" s="326">
        <v>0</v>
      </c>
      <c r="G146" s="330" t="s">
        <v>2464</v>
      </c>
      <c r="H146" s="330" t="s">
        <v>628</v>
      </c>
      <c r="I146" s="326"/>
      <c r="J146" s="326"/>
      <c r="K146" s="334">
        <f t="shared" si="2"/>
        <v>0</v>
      </c>
      <c r="L146" s="334">
        <v>0</v>
      </c>
      <c r="M146" s="334"/>
      <c r="N146" s="334">
        <v>0</v>
      </c>
      <c r="O146" s="232"/>
      <c r="P146" s="232"/>
      <c r="Q146" s="232"/>
      <c r="R146" s="232"/>
      <c r="S146" s="232"/>
      <c r="T146" s="232"/>
    </row>
    <row r="147" spans="1:20">
      <c r="A147" s="174">
        <v>305</v>
      </c>
      <c r="B147" s="326">
        <v>100</v>
      </c>
      <c r="C147" s="326">
        <v>150</v>
      </c>
      <c r="D147" s="326">
        <v>400</v>
      </c>
      <c r="E147" s="326">
        <v>40</v>
      </c>
      <c r="F147" s="326">
        <v>0</v>
      </c>
      <c r="G147" s="330" t="s">
        <v>2465</v>
      </c>
      <c r="H147" s="330" t="s">
        <v>629</v>
      </c>
      <c r="I147" s="326"/>
      <c r="J147" s="326"/>
      <c r="K147" s="334">
        <f t="shared" si="2"/>
        <v>0</v>
      </c>
      <c r="L147" s="334">
        <v>0</v>
      </c>
      <c r="M147" s="334"/>
      <c r="N147" s="334">
        <v>0</v>
      </c>
      <c r="O147" s="232"/>
      <c r="P147" s="232"/>
      <c r="Q147" s="232"/>
      <c r="R147" s="232"/>
      <c r="S147" s="232"/>
      <c r="T147" s="232"/>
    </row>
    <row r="148" spans="1:20">
      <c r="A148" s="174">
        <v>305</v>
      </c>
      <c r="B148" s="326">
        <v>100</v>
      </c>
      <c r="C148" s="326">
        <v>150</v>
      </c>
      <c r="D148" s="326">
        <v>400</v>
      </c>
      <c r="E148" s="326">
        <v>50</v>
      </c>
      <c r="F148" s="326">
        <v>0</v>
      </c>
      <c r="G148" s="330" t="s">
        <v>2466</v>
      </c>
      <c r="H148" s="330" t="s">
        <v>630</v>
      </c>
      <c r="I148" s="326"/>
      <c r="J148" s="326"/>
      <c r="K148" s="334">
        <f t="shared" si="2"/>
        <v>0</v>
      </c>
      <c r="L148" s="334">
        <v>0</v>
      </c>
      <c r="M148" s="334"/>
      <c r="N148" s="334">
        <v>0</v>
      </c>
      <c r="O148" s="232"/>
      <c r="P148" s="232"/>
      <c r="Q148" s="232"/>
      <c r="R148" s="232"/>
      <c r="S148" s="232"/>
      <c r="T148" s="232"/>
    </row>
    <row r="149" spans="1:20">
      <c r="A149" s="174">
        <v>305</v>
      </c>
      <c r="B149" s="326">
        <v>100</v>
      </c>
      <c r="C149" s="326">
        <v>150</v>
      </c>
      <c r="D149" s="326">
        <v>400</v>
      </c>
      <c r="E149" s="326">
        <v>60</v>
      </c>
      <c r="F149" s="326">
        <v>0</v>
      </c>
      <c r="G149" s="330" t="s">
        <v>2467</v>
      </c>
      <c r="H149" s="330" t="s">
        <v>633</v>
      </c>
      <c r="I149" s="326"/>
      <c r="J149" s="326"/>
      <c r="K149" s="334">
        <f t="shared" si="2"/>
        <v>0</v>
      </c>
      <c r="L149" s="334">
        <v>0</v>
      </c>
      <c r="M149" s="334"/>
      <c r="N149" s="334">
        <v>0</v>
      </c>
      <c r="O149" s="232"/>
      <c r="P149" s="232"/>
      <c r="Q149" s="232"/>
      <c r="R149" s="232"/>
      <c r="S149" s="232"/>
      <c r="T149" s="232"/>
    </row>
    <row r="150" spans="1:20">
      <c r="A150" s="174">
        <v>305</v>
      </c>
      <c r="B150" s="326">
        <v>100</v>
      </c>
      <c r="C150" s="326">
        <v>150</v>
      </c>
      <c r="D150" s="326">
        <v>400</v>
      </c>
      <c r="E150" s="326">
        <v>70</v>
      </c>
      <c r="F150" s="326">
        <v>0</v>
      </c>
      <c r="G150" s="330" t="s">
        <v>2468</v>
      </c>
      <c r="H150" s="330" t="s">
        <v>634</v>
      </c>
      <c r="I150" s="326"/>
      <c r="J150" s="326"/>
      <c r="K150" s="334">
        <f t="shared" si="2"/>
        <v>0</v>
      </c>
      <c r="L150" s="334">
        <v>0</v>
      </c>
      <c r="M150" s="334"/>
      <c r="N150" s="334">
        <v>0</v>
      </c>
      <c r="O150" s="232"/>
      <c r="P150" s="232"/>
      <c r="Q150" s="232"/>
      <c r="R150" s="232"/>
      <c r="S150" s="232"/>
      <c r="T150" s="232"/>
    </row>
    <row r="151" spans="1:20">
      <c r="A151" s="174">
        <v>305</v>
      </c>
      <c r="B151" s="326">
        <v>100</v>
      </c>
      <c r="C151" s="326">
        <v>150</v>
      </c>
      <c r="D151" s="326">
        <v>500</v>
      </c>
      <c r="E151" s="326">
        <v>0</v>
      </c>
      <c r="F151" s="326">
        <v>0</v>
      </c>
      <c r="G151" s="340" t="s">
        <v>2469</v>
      </c>
      <c r="H151" s="340" t="s">
        <v>691</v>
      </c>
      <c r="I151" s="326" t="s">
        <v>692</v>
      </c>
      <c r="J151" s="325"/>
      <c r="K151" s="335">
        <f t="shared" si="2"/>
        <v>0</v>
      </c>
      <c r="L151" s="335">
        <v>0</v>
      </c>
      <c r="M151" s="335"/>
      <c r="N151" s="335">
        <v>0</v>
      </c>
      <c r="O151" s="232"/>
      <c r="P151" s="232"/>
      <c r="Q151" s="232"/>
      <c r="R151" s="232"/>
      <c r="S151" s="232"/>
      <c r="T151" s="232"/>
    </row>
    <row r="152" spans="1:20" ht="25.5">
      <c r="A152" s="174">
        <v>305</v>
      </c>
      <c r="B152" s="326">
        <v>100</v>
      </c>
      <c r="C152" s="326">
        <v>150</v>
      </c>
      <c r="D152" s="326">
        <v>500</v>
      </c>
      <c r="E152" s="326">
        <v>10</v>
      </c>
      <c r="F152" s="326">
        <v>0</v>
      </c>
      <c r="G152" s="330" t="s">
        <v>2470</v>
      </c>
      <c r="H152" s="330" t="s">
        <v>693</v>
      </c>
      <c r="I152" s="326" t="s">
        <v>694</v>
      </c>
      <c r="J152" s="326"/>
      <c r="K152" s="334">
        <f t="shared" si="2"/>
        <v>0</v>
      </c>
      <c r="L152" s="334">
        <v>0</v>
      </c>
      <c r="M152" s="334"/>
      <c r="N152" s="334">
        <v>0</v>
      </c>
      <c r="O152" s="232"/>
      <c r="P152" s="232"/>
      <c r="Q152" s="232"/>
      <c r="R152" s="232"/>
      <c r="S152" s="232"/>
      <c r="T152" s="232"/>
    </row>
    <row r="153" spans="1:20" ht="38.25">
      <c r="A153" s="174">
        <v>305</v>
      </c>
      <c r="B153" s="326">
        <v>100</v>
      </c>
      <c r="C153" s="326">
        <v>150</v>
      </c>
      <c r="D153" s="326">
        <v>500</v>
      </c>
      <c r="E153" s="326">
        <v>15</v>
      </c>
      <c r="F153" s="326">
        <v>0</v>
      </c>
      <c r="G153" s="330" t="s">
        <v>2471</v>
      </c>
      <c r="H153" s="330" t="s">
        <v>695</v>
      </c>
      <c r="I153" s="326" t="s">
        <v>696</v>
      </c>
      <c r="J153" s="326"/>
      <c r="K153" s="334">
        <f t="shared" si="2"/>
        <v>0</v>
      </c>
      <c r="L153" s="334">
        <v>0</v>
      </c>
      <c r="M153" s="334"/>
      <c r="N153" s="334">
        <v>0</v>
      </c>
      <c r="O153" s="232"/>
      <c r="P153" s="232"/>
      <c r="Q153" s="232"/>
      <c r="R153" s="232"/>
      <c r="S153" s="232"/>
      <c r="T153" s="232"/>
    </row>
    <row r="154" spans="1:20" ht="25.5">
      <c r="A154" s="174">
        <v>305</v>
      </c>
      <c r="B154" s="326">
        <v>100</v>
      </c>
      <c r="C154" s="326">
        <v>150</v>
      </c>
      <c r="D154" s="326">
        <v>500</v>
      </c>
      <c r="E154" s="326">
        <v>20</v>
      </c>
      <c r="F154" s="326">
        <v>0</v>
      </c>
      <c r="G154" s="330" t="s">
        <v>2472</v>
      </c>
      <c r="H154" s="330" t="s">
        <v>697</v>
      </c>
      <c r="I154" s="326" t="s">
        <v>698</v>
      </c>
      <c r="J154" s="326"/>
      <c r="K154" s="334">
        <f t="shared" si="2"/>
        <v>0</v>
      </c>
      <c r="L154" s="334">
        <v>0</v>
      </c>
      <c r="M154" s="334"/>
      <c r="N154" s="334">
        <v>0</v>
      </c>
      <c r="O154" s="232"/>
      <c r="P154" s="232"/>
      <c r="Q154" s="232"/>
      <c r="R154" s="232"/>
      <c r="S154" s="232"/>
      <c r="T154" s="232"/>
    </row>
    <row r="155" spans="1:20" ht="25.5">
      <c r="A155" s="174">
        <v>305</v>
      </c>
      <c r="B155" s="326">
        <v>100</v>
      </c>
      <c r="C155" s="326">
        <v>150</v>
      </c>
      <c r="D155" s="326">
        <v>500</v>
      </c>
      <c r="E155" s="326">
        <v>25</v>
      </c>
      <c r="F155" s="326">
        <v>0</v>
      </c>
      <c r="G155" s="330" t="s">
        <v>2473</v>
      </c>
      <c r="H155" s="330" t="s">
        <v>699</v>
      </c>
      <c r="I155" s="326" t="s">
        <v>700</v>
      </c>
      <c r="J155" s="326"/>
      <c r="K155" s="334">
        <f t="shared" si="2"/>
        <v>0</v>
      </c>
      <c r="L155" s="334">
        <v>0</v>
      </c>
      <c r="M155" s="334"/>
      <c r="N155" s="334">
        <v>0</v>
      </c>
      <c r="O155" s="232"/>
      <c r="P155" s="232"/>
      <c r="Q155" s="232"/>
      <c r="R155" s="232"/>
      <c r="S155" s="232"/>
      <c r="T155" s="232"/>
    </row>
    <row r="156" spans="1:20" ht="25.5">
      <c r="A156" s="174">
        <v>305</v>
      </c>
      <c r="B156" s="326">
        <v>100</v>
      </c>
      <c r="C156" s="326">
        <v>150</v>
      </c>
      <c r="D156" s="326">
        <v>500</v>
      </c>
      <c r="E156" s="326">
        <v>30</v>
      </c>
      <c r="F156" s="326">
        <v>0</v>
      </c>
      <c r="G156" s="330" t="s">
        <v>2474</v>
      </c>
      <c r="H156" s="330" t="s">
        <v>701</v>
      </c>
      <c r="I156" s="326" t="s">
        <v>702</v>
      </c>
      <c r="J156" s="326"/>
      <c r="K156" s="334">
        <f t="shared" si="2"/>
        <v>0</v>
      </c>
      <c r="L156" s="334">
        <v>0</v>
      </c>
      <c r="M156" s="334"/>
      <c r="N156" s="334">
        <v>0</v>
      </c>
      <c r="O156" s="232"/>
      <c r="P156" s="232"/>
      <c r="Q156" s="232"/>
      <c r="R156" s="232"/>
      <c r="S156" s="232"/>
      <c r="T156" s="232"/>
    </row>
    <row r="157" spans="1:20" ht="25.5">
      <c r="A157" s="174">
        <v>305</v>
      </c>
      <c r="B157" s="326">
        <v>100</v>
      </c>
      <c r="C157" s="326">
        <v>150</v>
      </c>
      <c r="D157" s="326">
        <v>500</v>
      </c>
      <c r="E157" s="326">
        <v>35</v>
      </c>
      <c r="F157" s="326">
        <v>0</v>
      </c>
      <c r="G157" s="330" t="s">
        <v>2475</v>
      </c>
      <c r="H157" s="330" t="s">
        <v>703</v>
      </c>
      <c r="I157" s="326" t="s">
        <v>704</v>
      </c>
      <c r="J157" s="326"/>
      <c r="K157" s="334">
        <f t="shared" si="2"/>
        <v>0</v>
      </c>
      <c r="L157" s="334">
        <v>0</v>
      </c>
      <c r="M157" s="334"/>
      <c r="N157" s="334">
        <v>0</v>
      </c>
      <c r="O157" s="232"/>
      <c r="P157" s="232"/>
      <c r="Q157" s="232"/>
      <c r="R157" s="232"/>
      <c r="S157" s="232"/>
      <c r="T157" s="232"/>
    </row>
    <row r="158" spans="1:20" ht="25.5">
      <c r="A158" s="174">
        <v>305</v>
      </c>
      <c r="B158" s="326">
        <v>100</v>
      </c>
      <c r="C158" s="326">
        <v>150</v>
      </c>
      <c r="D158" s="326">
        <v>500</v>
      </c>
      <c r="E158" s="326">
        <v>40</v>
      </c>
      <c r="F158" s="326">
        <v>0</v>
      </c>
      <c r="G158" s="330" t="s">
        <v>2476</v>
      </c>
      <c r="H158" s="330" t="s">
        <v>705</v>
      </c>
      <c r="I158" s="326" t="s">
        <v>706</v>
      </c>
      <c r="J158" s="326"/>
      <c r="K158" s="334">
        <f t="shared" si="2"/>
        <v>0</v>
      </c>
      <c r="L158" s="334">
        <v>0</v>
      </c>
      <c r="M158" s="334"/>
      <c r="N158" s="334">
        <v>0</v>
      </c>
      <c r="O158" s="232"/>
      <c r="P158" s="232"/>
      <c r="Q158" s="232"/>
      <c r="R158" s="232"/>
      <c r="S158" s="232"/>
      <c r="T158" s="232"/>
    </row>
    <row r="159" spans="1:20" ht="25.5">
      <c r="A159" s="174">
        <v>305</v>
      </c>
      <c r="B159" s="326">
        <v>100</v>
      </c>
      <c r="C159" s="326">
        <v>150</v>
      </c>
      <c r="D159" s="326">
        <v>500</v>
      </c>
      <c r="E159" s="326">
        <v>45</v>
      </c>
      <c r="F159" s="326">
        <v>0</v>
      </c>
      <c r="G159" s="330" t="s">
        <v>2477</v>
      </c>
      <c r="H159" s="330" t="s">
        <v>707</v>
      </c>
      <c r="I159" s="326" t="s">
        <v>708</v>
      </c>
      <c r="J159" s="326"/>
      <c r="K159" s="334">
        <f t="shared" si="2"/>
        <v>0</v>
      </c>
      <c r="L159" s="334">
        <v>0</v>
      </c>
      <c r="M159" s="334"/>
      <c r="N159" s="334">
        <v>0</v>
      </c>
      <c r="O159" s="232"/>
      <c r="P159" s="232"/>
      <c r="Q159" s="232"/>
      <c r="R159" s="232"/>
      <c r="S159" s="232"/>
      <c r="T159" s="232"/>
    </row>
    <row r="160" spans="1:20" ht="25.5">
      <c r="A160" s="174">
        <v>305</v>
      </c>
      <c r="B160" s="326">
        <v>100</v>
      </c>
      <c r="C160" s="326">
        <v>150</v>
      </c>
      <c r="D160" s="326">
        <v>600</v>
      </c>
      <c r="E160" s="326">
        <v>0</v>
      </c>
      <c r="F160" s="326">
        <v>0</v>
      </c>
      <c r="G160" s="330" t="s">
        <v>2478</v>
      </c>
      <c r="H160" s="330" t="s">
        <v>709</v>
      </c>
      <c r="I160" s="326" t="s">
        <v>710</v>
      </c>
      <c r="J160" s="326"/>
      <c r="K160" s="334">
        <f t="shared" si="2"/>
        <v>0</v>
      </c>
      <c r="L160" s="334">
        <v>0</v>
      </c>
      <c r="M160" s="334"/>
      <c r="N160" s="334">
        <v>0</v>
      </c>
      <c r="O160" s="232"/>
      <c r="P160" s="232"/>
      <c r="Q160" s="232"/>
      <c r="R160" s="232"/>
      <c r="S160" s="232"/>
      <c r="T160" s="232"/>
    </row>
    <row r="161" spans="1:20" ht="51">
      <c r="A161" s="174">
        <v>305</v>
      </c>
      <c r="B161" s="326">
        <v>100</v>
      </c>
      <c r="C161" s="326">
        <v>150</v>
      </c>
      <c r="D161" s="326">
        <v>700</v>
      </c>
      <c r="E161" s="326">
        <v>0</v>
      </c>
      <c r="F161" s="326">
        <v>0</v>
      </c>
      <c r="G161" s="330" t="s">
        <v>2479</v>
      </c>
      <c r="H161" s="330" t="s">
        <v>711</v>
      </c>
      <c r="I161" s="326" t="s">
        <v>712</v>
      </c>
      <c r="J161" s="326"/>
      <c r="K161" s="334">
        <f t="shared" si="2"/>
        <v>0</v>
      </c>
      <c r="L161" s="334">
        <v>0</v>
      </c>
      <c r="M161" s="334"/>
      <c r="N161" s="334">
        <v>0</v>
      </c>
      <c r="O161" s="232"/>
      <c r="P161" s="232"/>
      <c r="Q161" s="232"/>
      <c r="R161" s="232"/>
      <c r="S161" s="232"/>
      <c r="T161" s="232"/>
    </row>
    <row r="162" spans="1:20">
      <c r="A162" s="174">
        <v>305</v>
      </c>
      <c r="B162" s="326">
        <v>100</v>
      </c>
      <c r="C162" s="326">
        <v>200</v>
      </c>
      <c r="D162" s="326">
        <v>0</v>
      </c>
      <c r="E162" s="326">
        <v>0</v>
      </c>
      <c r="F162" s="326">
        <v>0</v>
      </c>
      <c r="G162" s="340" t="s">
        <v>2480</v>
      </c>
      <c r="H162" s="340" t="s">
        <v>713</v>
      </c>
      <c r="I162" s="332" t="s">
        <v>714</v>
      </c>
      <c r="J162" s="333"/>
      <c r="K162" s="335">
        <f t="shared" si="2"/>
        <v>0</v>
      </c>
      <c r="L162" s="335">
        <v>0</v>
      </c>
      <c r="M162" s="335"/>
      <c r="N162" s="335">
        <v>0</v>
      </c>
      <c r="O162" s="232"/>
      <c r="P162" s="232"/>
      <c r="Q162" s="232"/>
      <c r="R162" s="232"/>
      <c r="S162" s="232"/>
      <c r="T162" s="232"/>
    </row>
    <row r="163" spans="1:20" ht="25.5">
      <c r="A163" s="174">
        <v>305</v>
      </c>
      <c r="B163" s="326">
        <v>100</v>
      </c>
      <c r="C163" s="326">
        <v>200</v>
      </c>
      <c r="D163" s="326">
        <v>100</v>
      </c>
      <c r="E163" s="326">
        <v>0</v>
      </c>
      <c r="F163" s="326">
        <v>0</v>
      </c>
      <c r="G163" s="330" t="s">
        <v>2481</v>
      </c>
      <c r="H163" s="330" t="s">
        <v>672</v>
      </c>
      <c r="I163" s="332" t="s">
        <v>715</v>
      </c>
      <c r="J163" s="332" t="s">
        <v>1530</v>
      </c>
      <c r="K163" s="334">
        <f t="shared" si="2"/>
        <v>0</v>
      </c>
      <c r="L163" s="334">
        <v>0</v>
      </c>
      <c r="M163" s="334"/>
      <c r="N163" s="334">
        <v>0</v>
      </c>
      <c r="O163" s="232"/>
      <c r="P163" s="232"/>
      <c r="Q163" s="232"/>
      <c r="R163" s="232"/>
      <c r="S163" s="232"/>
      <c r="T163" s="232"/>
    </row>
    <row r="164" spans="1:20">
      <c r="A164" s="174">
        <v>305</v>
      </c>
      <c r="B164" s="326">
        <v>100</v>
      </c>
      <c r="C164" s="326">
        <v>200</v>
      </c>
      <c r="D164" s="326">
        <v>200</v>
      </c>
      <c r="E164" s="326">
        <v>0</v>
      </c>
      <c r="F164" s="326">
        <v>0</v>
      </c>
      <c r="G164" s="330" t="s">
        <v>2482</v>
      </c>
      <c r="H164" s="330" t="s">
        <v>678</v>
      </c>
      <c r="I164" s="326" t="s">
        <v>716</v>
      </c>
      <c r="J164" s="326"/>
      <c r="K164" s="334">
        <f t="shared" si="2"/>
        <v>0</v>
      </c>
      <c r="L164" s="334">
        <v>0</v>
      </c>
      <c r="M164" s="334"/>
      <c r="N164" s="334">
        <v>0</v>
      </c>
      <c r="O164" s="232"/>
      <c r="P164" s="232"/>
      <c r="Q164" s="232"/>
      <c r="R164" s="232"/>
      <c r="S164" s="232"/>
      <c r="T164" s="232"/>
    </row>
    <row r="165" spans="1:20" ht="25.5">
      <c r="A165" s="174">
        <v>305</v>
      </c>
      <c r="B165" s="326">
        <v>100</v>
      </c>
      <c r="C165" s="326">
        <v>200</v>
      </c>
      <c r="D165" s="326">
        <v>300</v>
      </c>
      <c r="E165" s="326">
        <v>0</v>
      </c>
      <c r="F165" s="326">
        <v>0</v>
      </c>
      <c r="G165" s="330" t="s">
        <v>2483</v>
      </c>
      <c r="H165" s="330" t="s">
        <v>717</v>
      </c>
      <c r="I165" s="326" t="s">
        <v>718</v>
      </c>
      <c r="J165" s="326" t="s">
        <v>1579</v>
      </c>
      <c r="K165" s="334">
        <f t="shared" si="2"/>
        <v>0</v>
      </c>
      <c r="L165" s="334">
        <v>0</v>
      </c>
      <c r="M165" s="334"/>
      <c r="N165" s="334">
        <v>0</v>
      </c>
      <c r="O165" s="232"/>
      <c r="P165" s="232"/>
      <c r="Q165" s="232"/>
      <c r="R165" s="232"/>
      <c r="S165" s="232"/>
      <c r="T165" s="232"/>
    </row>
    <row r="166" spans="1:20">
      <c r="A166" s="174">
        <v>305</v>
      </c>
      <c r="B166" s="326">
        <v>100</v>
      </c>
      <c r="C166" s="326">
        <v>200</v>
      </c>
      <c r="D166" s="326">
        <v>400</v>
      </c>
      <c r="E166" s="326">
        <v>0</v>
      </c>
      <c r="F166" s="326">
        <v>0</v>
      </c>
      <c r="G166" s="340" t="s">
        <v>2484</v>
      </c>
      <c r="H166" s="340" t="s">
        <v>719</v>
      </c>
      <c r="I166" s="326" t="s">
        <v>720</v>
      </c>
      <c r="J166" s="325"/>
      <c r="K166" s="335">
        <f t="shared" si="2"/>
        <v>0</v>
      </c>
      <c r="L166" s="335">
        <v>0</v>
      </c>
      <c r="M166" s="335"/>
      <c r="N166" s="335">
        <v>0</v>
      </c>
      <c r="O166" s="232"/>
      <c r="P166" s="232"/>
      <c r="Q166" s="232"/>
      <c r="R166" s="232"/>
      <c r="S166" s="232"/>
      <c r="T166" s="232"/>
    </row>
    <row r="167" spans="1:20" ht="25.5">
      <c r="A167" s="174">
        <v>305</v>
      </c>
      <c r="B167" s="326">
        <v>100</v>
      </c>
      <c r="C167" s="326">
        <v>200</v>
      </c>
      <c r="D167" s="326">
        <v>400</v>
      </c>
      <c r="E167" s="326">
        <v>10</v>
      </c>
      <c r="F167" s="326">
        <v>0</v>
      </c>
      <c r="G167" s="330" t="s">
        <v>2485</v>
      </c>
      <c r="H167" s="330" t="s">
        <v>721</v>
      </c>
      <c r="I167" s="326"/>
      <c r="J167" s="326"/>
      <c r="K167" s="334">
        <f t="shared" si="2"/>
        <v>0</v>
      </c>
      <c r="L167" s="334">
        <v>0</v>
      </c>
      <c r="M167" s="334"/>
      <c r="N167" s="334">
        <v>0</v>
      </c>
      <c r="O167" s="232"/>
      <c r="P167" s="232"/>
      <c r="Q167" s="232"/>
      <c r="R167" s="232"/>
      <c r="S167" s="232"/>
      <c r="T167" s="232"/>
    </row>
    <row r="168" spans="1:20" ht="25.5">
      <c r="A168" s="174">
        <v>305</v>
      </c>
      <c r="B168" s="326">
        <v>100</v>
      </c>
      <c r="C168" s="326">
        <v>200</v>
      </c>
      <c r="D168" s="326">
        <v>400</v>
      </c>
      <c r="E168" s="326">
        <v>20</v>
      </c>
      <c r="F168" s="326">
        <v>0</v>
      </c>
      <c r="G168" s="330" t="s">
        <v>2486</v>
      </c>
      <c r="H168" s="330" t="s">
        <v>722</v>
      </c>
      <c r="I168" s="326"/>
      <c r="J168" s="326"/>
      <c r="K168" s="334">
        <f t="shared" si="2"/>
        <v>0</v>
      </c>
      <c r="L168" s="334">
        <v>0</v>
      </c>
      <c r="M168" s="334"/>
      <c r="N168" s="334">
        <v>0</v>
      </c>
      <c r="O168" s="232"/>
      <c r="P168" s="232"/>
      <c r="Q168" s="232"/>
      <c r="R168" s="232"/>
      <c r="S168" s="232"/>
      <c r="T168" s="232"/>
    </row>
    <row r="169" spans="1:20">
      <c r="A169" s="174">
        <v>305</v>
      </c>
      <c r="B169" s="326">
        <v>100</v>
      </c>
      <c r="C169" s="326">
        <v>200</v>
      </c>
      <c r="D169" s="326">
        <v>500</v>
      </c>
      <c r="E169" s="326">
        <v>0</v>
      </c>
      <c r="F169" s="326">
        <v>0</v>
      </c>
      <c r="G169" s="340" t="s">
        <v>2487</v>
      </c>
      <c r="H169" s="340" t="s">
        <v>723</v>
      </c>
      <c r="I169" s="326" t="s">
        <v>724</v>
      </c>
      <c r="J169" s="325"/>
      <c r="K169" s="335">
        <f t="shared" si="2"/>
        <v>0</v>
      </c>
      <c r="L169" s="335">
        <v>0</v>
      </c>
      <c r="M169" s="335"/>
      <c r="N169" s="335">
        <v>0</v>
      </c>
      <c r="O169" s="232"/>
      <c r="P169" s="232"/>
      <c r="Q169" s="232"/>
      <c r="R169" s="232"/>
      <c r="S169" s="232"/>
      <c r="T169" s="232"/>
    </row>
    <row r="170" spans="1:20" ht="25.5">
      <c r="A170" s="174">
        <v>305</v>
      </c>
      <c r="B170" s="326">
        <v>100</v>
      </c>
      <c r="C170" s="326">
        <v>200</v>
      </c>
      <c r="D170" s="326">
        <v>500</v>
      </c>
      <c r="E170" s="326">
        <v>10</v>
      </c>
      <c r="F170" s="326">
        <v>0</v>
      </c>
      <c r="G170" s="330" t="s">
        <v>2488</v>
      </c>
      <c r="H170" s="330" t="s">
        <v>721</v>
      </c>
      <c r="I170" s="326"/>
      <c r="J170" s="326"/>
      <c r="K170" s="334">
        <f t="shared" si="2"/>
        <v>0</v>
      </c>
      <c r="L170" s="334">
        <v>0</v>
      </c>
      <c r="M170" s="334"/>
      <c r="N170" s="334">
        <v>0</v>
      </c>
      <c r="O170" s="232"/>
      <c r="P170" s="232"/>
      <c r="Q170" s="232"/>
      <c r="R170" s="232"/>
      <c r="S170" s="232"/>
      <c r="T170" s="232"/>
    </row>
    <row r="171" spans="1:20" ht="25.5">
      <c r="A171" s="174">
        <v>305</v>
      </c>
      <c r="B171" s="326">
        <v>100</v>
      </c>
      <c r="C171" s="326">
        <v>200</v>
      </c>
      <c r="D171" s="326">
        <v>500</v>
      </c>
      <c r="E171" s="326">
        <v>20</v>
      </c>
      <c r="F171" s="326">
        <v>0</v>
      </c>
      <c r="G171" s="330" t="s">
        <v>2489</v>
      </c>
      <c r="H171" s="330" t="s">
        <v>722</v>
      </c>
      <c r="I171" s="326"/>
      <c r="J171" s="326"/>
      <c r="K171" s="334">
        <f t="shared" si="2"/>
        <v>0</v>
      </c>
      <c r="L171" s="334">
        <v>0</v>
      </c>
      <c r="M171" s="334"/>
      <c r="N171" s="334">
        <v>0</v>
      </c>
      <c r="O171" s="232"/>
      <c r="P171" s="232"/>
      <c r="Q171" s="232"/>
      <c r="R171" s="232"/>
      <c r="S171" s="232"/>
      <c r="T171" s="232"/>
    </row>
    <row r="172" spans="1:20">
      <c r="A172" s="174">
        <v>305</v>
      </c>
      <c r="B172" s="326">
        <v>100</v>
      </c>
      <c r="C172" s="326">
        <v>250</v>
      </c>
      <c r="D172" s="326">
        <v>0</v>
      </c>
      <c r="E172" s="326">
        <v>0</v>
      </c>
      <c r="F172" s="326">
        <v>0</v>
      </c>
      <c r="G172" s="331" t="s">
        <v>2490</v>
      </c>
      <c r="H172" s="331" t="s">
        <v>725</v>
      </c>
      <c r="I172" s="332" t="s">
        <v>726</v>
      </c>
      <c r="J172" s="333"/>
      <c r="K172" s="335">
        <f t="shared" si="2"/>
        <v>0</v>
      </c>
      <c r="L172" s="335">
        <v>0</v>
      </c>
      <c r="M172" s="335"/>
      <c r="N172" s="335">
        <v>0</v>
      </c>
      <c r="O172" s="232"/>
      <c r="P172" s="232"/>
      <c r="Q172" s="232"/>
      <c r="R172" s="232"/>
      <c r="S172" s="232"/>
      <c r="T172" s="232"/>
    </row>
    <row r="173" spans="1:20" ht="25.5">
      <c r="A173" s="174">
        <v>305</v>
      </c>
      <c r="B173" s="326">
        <v>100</v>
      </c>
      <c r="C173" s="326">
        <v>250</v>
      </c>
      <c r="D173" s="326">
        <v>100</v>
      </c>
      <c r="E173" s="326">
        <v>0</v>
      </c>
      <c r="F173" s="326">
        <v>0</v>
      </c>
      <c r="G173" s="330" t="s">
        <v>2491</v>
      </c>
      <c r="H173" s="330" t="s">
        <v>727</v>
      </c>
      <c r="I173" s="332" t="s">
        <v>728</v>
      </c>
      <c r="J173" s="332" t="s">
        <v>1530</v>
      </c>
      <c r="K173" s="334">
        <f t="shared" si="2"/>
        <v>0</v>
      </c>
      <c r="L173" s="334">
        <v>0</v>
      </c>
      <c r="M173" s="334"/>
      <c r="N173" s="334">
        <v>0</v>
      </c>
      <c r="O173" s="232"/>
      <c r="P173" s="232"/>
      <c r="Q173" s="232"/>
      <c r="R173" s="232"/>
      <c r="S173" s="232"/>
      <c r="T173" s="232"/>
    </row>
    <row r="174" spans="1:20">
      <c r="A174" s="174">
        <v>305</v>
      </c>
      <c r="B174" s="326">
        <v>100</v>
      </c>
      <c r="C174" s="326">
        <v>250</v>
      </c>
      <c r="D174" s="326">
        <v>200</v>
      </c>
      <c r="E174" s="326">
        <v>0</v>
      </c>
      <c r="F174" s="326">
        <v>0</v>
      </c>
      <c r="G174" s="330" t="s">
        <v>2492</v>
      </c>
      <c r="H174" s="330" t="s">
        <v>678</v>
      </c>
      <c r="I174" s="326" t="s">
        <v>729</v>
      </c>
      <c r="J174" s="326"/>
      <c r="K174" s="334">
        <f t="shared" si="2"/>
        <v>0</v>
      </c>
      <c r="L174" s="334">
        <v>0</v>
      </c>
      <c r="M174" s="334"/>
      <c r="N174" s="334">
        <v>0</v>
      </c>
      <c r="O174" s="232"/>
      <c r="P174" s="232"/>
      <c r="Q174" s="232"/>
      <c r="R174" s="232"/>
      <c r="S174" s="232"/>
      <c r="T174" s="232"/>
    </row>
    <row r="175" spans="1:20">
      <c r="A175" s="174">
        <v>305</v>
      </c>
      <c r="B175" s="326">
        <v>100</v>
      </c>
      <c r="C175" s="326">
        <v>250</v>
      </c>
      <c r="D175" s="326">
        <v>300</v>
      </c>
      <c r="E175" s="326">
        <v>0</v>
      </c>
      <c r="F175" s="326">
        <v>0</v>
      </c>
      <c r="G175" s="330" t="s">
        <v>2493</v>
      </c>
      <c r="H175" s="330" t="s">
        <v>668</v>
      </c>
      <c r="I175" s="326" t="s">
        <v>730</v>
      </c>
      <c r="J175" s="326" t="s">
        <v>1575</v>
      </c>
      <c r="K175" s="334">
        <f t="shared" si="2"/>
        <v>0</v>
      </c>
      <c r="L175" s="334">
        <v>0</v>
      </c>
      <c r="M175" s="334"/>
      <c r="N175" s="334">
        <v>0</v>
      </c>
      <c r="O175" s="232"/>
      <c r="P175" s="232"/>
      <c r="Q175" s="232"/>
      <c r="R175" s="232"/>
      <c r="S175" s="232"/>
      <c r="T175" s="232"/>
    </row>
    <row r="176" spans="1:20">
      <c r="A176" s="174">
        <v>305</v>
      </c>
      <c r="B176" s="326">
        <v>100</v>
      </c>
      <c r="C176" s="326">
        <v>250</v>
      </c>
      <c r="D176" s="326">
        <v>400</v>
      </c>
      <c r="E176" s="326">
        <v>0</v>
      </c>
      <c r="F176" s="326">
        <v>0</v>
      </c>
      <c r="G176" s="340" t="s">
        <v>2494</v>
      </c>
      <c r="H176" s="340" t="s">
        <v>731</v>
      </c>
      <c r="I176" s="326" t="s">
        <v>732</v>
      </c>
      <c r="J176" s="325"/>
      <c r="K176" s="335">
        <f t="shared" si="2"/>
        <v>0</v>
      </c>
      <c r="L176" s="335">
        <v>0</v>
      </c>
      <c r="M176" s="335"/>
      <c r="N176" s="335">
        <v>0</v>
      </c>
      <c r="O176" s="232"/>
      <c r="P176" s="232"/>
      <c r="Q176" s="232"/>
      <c r="R176" s="232"/>
      <c r="S176" s="232"/>
      <c r="T176" s="232"/>
    </row>
    <row r="177" spans="1:20">
      <c r="A177" s="174">
        <v>305</v>
      </c>
      <c r="B177" s="326">
        <v>100</v>
      </c>
      <c r="C177" s="326">
        <v>250</v>
      </c>
      <c r="D177" s="326">
        <v>400</v>
      </c>
      <c r="E177" s="326">
        <v>10</v>
      </c>
      <c r="F177" s="326">
        <v>0</v>
      </c>
      <c r="G177" s="330" t="s">
        <v>2495</v>
      </c>
      <c r="H177" s="330" t="s">
        <v>733</v>
      </c>
      <c r="I177" s="326"/>
      <c r="J177" s="326"/>
      <c r="K177" s="334">
        <f t="shared" si="2"/>
        <v>0</v>
      </c>
      <c r="L177" s="334">
        <v>0</v>
      </c>
      <c r="M177" s="334"/>
      <c r="N177" s="334">
        <v>0</v>
      </c>
      <c r="O177" s="232"/>
      <c r="P177" s="232"/>
      <c r="Q177" s="232"/>
      <c r="R177" s="232"/>
      <c r="S177" s="232"/>
      <c r="T177" s="232"/>
    </row>
    <row r="178" spans="1:20">
      <c r="A178" s="174">
        <v>305</v>
      </c>
      <c r="B178" s="326">
        <v>100</v>
      </c>
      <c r="C178" s="326">
        <v>250</v>
      </c>
      <c r="D178" s="326">
        <v>400</v>
      </c>
      <c r="E178" s="326">
        <v>20</v>
      </c>
      <c r="F178" s="326">
        <v>0</v>
      </c>
      <c r="G178" s="330" t="s">
        <v>2496</v>
      </c>
      <c r="H178" s="330" t="s">
        <v>734</v>
      </c>
      <c r="I178" s="326"/>
      <c r="J178" s="326"/>
      <c r="K178" s="334">
        <f t="shared" si="2"/>
        <v>0</v>
      </c>
      <c r="L178" s="334">
        <v>0</v>
      </c>
      <c r="M178" s="334"/>
      <c r="N178" s="334">
        <v>0</v>
      </c>
      <c r="O178" s="232"/>
      <c r="P178" s="232"/>
      <c r="Q178" s="232"/>
      <c r="R178" s="232"/>
      <c r="S178" s="232"/>
      <c r="T178" s="232"/>
    </row>
    <row r="179" spans="1:20">
      <c r="A179" s="174">
        <v>305</v>
      </c>
      <c r="B179" s="326">
        <v>100</v>
      </c>
      <c r="C179" s="326">
        <v>250</v>
      </c>
      <c r="D179" s="326">
        <v>400</v>
      </c>
      <c r="E179" s="326">
        <v>90</v>
      </c>
      <c r="F179" s="326">
        <v>0</v>
      </c>
      <c r="G179" s="330" t="s">
        <v>2498</v>
      </c>
      <c r="H179" s="330" t="s">
        <v>736</v>
      </c>
      <c r="I179" s="338"/>
      <c r="J179" s="338"/>
      <c r="K179" s="334">
        <f t="shared" si="2"/>
        <v>0</v>
      </c>
      <c r="L179" s="334">
        <v>0</v>
      </c>
      <c r="M179" s="334"/>
      <c r="N179" s="334">
        <v>0</v>
      </c>
      <c r="O179" s="232"/>
      <c r="P179" s="232"/>
      <c r="Q179" s="232"/>
      <c r="R179" s="232"/>
      <c r="S179" s="232"/>
      <c r="T179" s="232"/>
    </row>
    <row r="180" spans="1:20">
      <c r="A180" s="174">
        <v>305</v>
      </c>
      <c r="B180" s="326">
        <v>100</v>
      </c>
      <c r="C180" s="326">
        <v>300</v>
      </c>
      <c r="D180" s="326">
        <v>0</v>
      </c>
      <c r="E180" s="326">
        <v>0</v>
      </c>
      <c r="F180" s="326">
        <v>0</v>
      </c>
      <c r="G180" s="331" t="s">
        <v>2499</v>
      </c>
      <c r="H180" s="331" t="s">
        <v>737</v>
      </c>
      <c r="I180" s="332" t="s">
        <v>738</v>
      </c>
      <c r="J180" s="333" t="s">
        <v>1530</v>
      </c>
      <c r="K180" s="335">
        <f t="shared" si="2"/>
        <v>0</v>
      </c>
      <c r="L180" s="335">
        <v>0</v>
      </c>
      <c r="M180" s="335"/>
      <c r="N180" s="335">
        <v>0</v>
      </c>
      <c r="O180" s="232"/>
      <c r="P180" s="232"/>
      <c r="Q180" s="232"/>
      <c r="R180" s="232"/>
      <c r="S180" s="232"/>
      <c r="T180" s="232"/>
    </row>
    <row r="181" spans="1:20" ht="25.5">
      <c r="A181" s="174">
        <v>305</v>
      </c>
      <c r="B181" s="326">
        <v>100</v>
      </c>
      <c r="C181" s="326">
        <v>300</v>
      </c>
      <c r="D181" s="326">
        <v>100</v>
      </c>
      <c r="E181" s="326">
        <v>0</v>
      </c>
      <c r="F181" s="326">
        <v>0</v>
      </c>
      <c r="G181" s="330" t="s">
        <v>2500</v>
      </c>
      <c r="H181" s="330" t="s">
        <v>672</v>
      </c>
      <c r="I181" s="332" t="s">
        <v>738</v>
      </c>
      <c r="J181" s="332" t="s">
        <v>1530</v>
      </c>
      <c r="K181" s="334">
        <f t="shared" si="2"/>
        <v>0</v>
      </c>
      <c r="L181" s="334">
        <v>0</v>
      </c>
      <c r="M181" s="334"/>
      <c r="N181" s="334">
        <v>0</v>
      </c>
      <c r="O181" s="232"/>
      <c r="P181" s="232"/>
      <c r="Q181" s="232"/>
      <c r="R181" s="232"/>
      <c r="S181" s="232"/>
      <c r="T181" s="232"/>
    </row>
    <row r="182" spans="1:20">
      <c r="A182" s="174">
        <v>305</v>
      </c>
      <c r="B182" s="326">
        <v>100</v>
      </c>
      <c r="C182" s="326">
        <v>300</v>
      </c>
      <c r="D182" s="326">
        <v>200</v>
      </c>
      <c r="E182" s="326">
        <v>0</v>
      </c>
      <c r="F182" s="326">
        <v>0</v>
      </c>
      <c r="G182" s="330" t="s">
        <v>2501</v>
      </c>
      <c r="H182" s="330" t="s">
        <v>678</v>
      </c>
      <c r="I182" s="326" t="s">
        <v>739</v>
      </c>
      <c r="J182" s="326"/>
      <c r="K182" s="334">
        <f t="shared" si="2"/>
        <v>0</v>
      </c>
      <c r="L182" s="334">
        <v>0</v>
      </c>
      <c r="M182" s="334"/>
      <c r="N182" s="334">
        <v>0</v>
      </c>
      <c r="O182" s="232"/>
      <c r="P182" s="232"/>
      <c r="Q182" s="232"/>
      <c r="R182" s="232"/>
      <c r="S182" s="232"/>
      <c r="T182" s="232"/>
    </row>
    <row r="183" spans="1:20">
      <c r="A183" s="174">
        <v>305</v>
      </c>
      <c r="B183" s="326">
        <v>100</v>
      </c>
      <c r="C183" s="326">
        <v>300</v>
      </c>
      <c r="D183" s="326">
        <v>300</v>
      </c>
      <c r="E183" s="326">
        <v>0</v>
      </c>
      <c r="F183" s="326">
        <v>0</v>
      </c>
      <c r="G183" s="330" t="s">
        <v>2502</v>
      </c>
      <c r="H183" s="330" t="s">
        <v>668</v>
      </c>
      <c r="I183" s="326" t="s">
        <v>740</v>
      </c>
      <c r="J183" s="326" t="s">
        <v>1575</v>
      </c>
      <c r="K183" s="334">
        <f t="shared" si="2"/>
        <v>0</v>
      </c>
      <c r="L183" s="334">
        <v>0</v>
      </c>
      <c r="M183" s="334"/>
      <c r="N183" s="334">
        <v>0</v>
      </c>
      <c r="O183" s="232"/>
      <c r="P183" s="232"/>
      <c r="Q183" s="232"/>
      <c r="R183" s="232"/>
      <c r="S183" s="232"/>
      <c r="T183" s="232"/>
    </row>
    <row r="184" spans="1:20">
      <c r="A184" s="174">
        <v>305</v>
      </c>
      <c r="B184" s="326">
        <v>100</v>
      </c>
      <c r="C184" s="326">
        <v>300</v>
      </c>
      <c r="D184" s="326">
        <v>400</v>
      </c>
      <c r="E184" s="326">
        <v>0</v>
      </c>
      <c r="F184" s="326">
        <v>0</v>
      </c>
      <c r="G184" s="331" t="s">
        <v>2503</v>
      </c>
      <c r="H184" s="331" t="s">
        <v>691</v>
      </c>
      <c r="I184" s="326" t="s">
        <v>741</v>
      </c>
      <c r="J184" s="325"/>
      <c r="K184" s="335">
        <f t="shared" si="2"/>
        <v>0</v>
      </c>
      <c r="L184" s="335">
        <v>0</v>
      </c>
      <c r="M184" s="335"/>
      <c r="N184" s="335">
        <v>0</v>
      </c>
      <c r="O184" s="232"/>
      <c r="P184" s="232"/>
      <c r="Q184" s="232"/>
      <c r="R184" s="232"/>
      <c r="S184" s="232"/>
      <c r="T184" s="232"/>
    </row>
    <row r="185" spans="1:20" ht="25.5">
      <c r="A185" s="174">
        <v>305</v>
      </c>
      <c r="B185" s="326">
        <v>100</v>
      </c>
      <c r="C185" s="326">
        <v>300</v>
      </c>
      <c r="D185" s="326">
        <v>400</v>
      </c>
      <c r="E185" s="326">
        <v>10</v>
      </c>
      <c r="F185" s="326">
        <v>0</v>
      </c>
      <c r="G185" s="330" t="s">
        <v>2504</v>
      </c>
      <c r="H185" s="330" t="s">
        <v>742</v>
      </c>
      <c r="I185" s="326"/>
      <c r="J185" s="326"/>
      <c r="K185" s="334">
        <f t="shared" si="2"/>
        <v>0</v>
      </c>
      <c r="L185" s="334">
        <v>0</v>
      </c>
      <c r="M185" s="334"/>
      <c r="N185" s="334">
        <v>0</v>
      </c>
      <c r="O185" s="232"/>
      <c r="P185" s="232"/>
      <c r="Q185" s="232"/>
      <c r="R185" s="232"/>
      <c r="S185" s="232"/>
      <c r="T185" s="232"/>
    </row>
    <row r="186" spans="1:20">
      <c r="A186" s="174">
        <v>305</v>
      </c>
      <c r="B186" s="326">
        <v>100</v>
      </c>
      <c r="C186" s="326">
        <v>300</v>
      </c>
      <c r="D186" s="326">
        <v>400</v>
      </c>
      <c r="E186" s="326">
        <v>20</v>
      </c>
      <c r="F186" s="326">
        <v>0</v>
      </c>
      <c r="G186" s="330" t="s">
        <v>2505</v>
      </c>
      <c r="H186" s="330" t="s">
        <v>743</v>
      </c>
      <c r="I186" s="326"/>
      <c r="J186" s="326"/>
      <c r="K186" s="334">
        <f t="shared" si="2"/>
        <v>0</v>
      </c>
      <c r="L186" s="334">
        <v>0</v>
      </c>
      <c r="M186" s="334"/>
      <c r="N186" s="334">
        <v>0</v>
      </c>
      <c r="O186" s="232"/>
      <c r="P186" s="232"/>
      <c r="Q186" s="232"/>
      <c r="R186" s="232"/>
      <c r="S186" s="232"/>
      <c r="T186" s="232"/>
    </row>
    <row r="187" spans="1:20">
      <c r="A187" s="174">
        <v>305</v>
      </c>
      <c r="B187" s="326">
        <v>100</v>
      </c>
      <c r="C187" s="326">
        <v>350</v>
      </c>
      <c r="D187" s="326">
        <v>0</v>
      </c>
      <c r="E187" s="326">
        <v>0</v>
      </c>
      <c r="F187" s="326">
        <v>0</v>
      </c>
      <c r="G187" s="331" t="s">
        <v>2506</v>
      </c>
      <c r="H187" s="331" t="s">
        <v>744</v>
      </c>
      <c r="I187" s="326" t="s">
        <v>745</v>
      </c>
      <c r="J187" s="325"/>
      <c r="K187" s="335">
        <f t="shared" si="2"/>
        <v>0</v>
      </c>
      <c r="L187" s="335">
        <v>0</v>
      </c>
      <c r="M187" s="335"/>
      <c r="N187" s="335">
        <v>0</v>
      </c>
      <c r="O187" s="232"/>
      <c r="P187" s="232"/>
      <c r="Q187" s="232"/>
      <c r="R187" s="232"/>
      <c r="S187" s="232"/>
      <c r="T187" s="232"/>
    </row>
    <row r="188" spans="1:20">
      <c r="A188" s="174">
        <v>305</v>
      </c>
      <c r="B188" s="326">
        <v>100</v>
      </c>
      <c r="C188" s="326">
        <v>350</v>
      </c>
      <c r="D188" s="326">
        <v>100</v>
      </c>
      <c r="E188" s="326">
        <v>0</v>
      </c>
      <c r="F188" s="326">
        <v>0</v>
      </c>
      <c r="G188" s="340" t="s">
        <v>2507</v>
      </c>
      <c r="H188" s="340" t="s">
        <v>672</v>
      </c>
      <c r="I188" s="326" t="s">
        <v>746</v>
      </c>
      <c r="J188" s="325" t="s">
        <v>1530</v>
      </c>
      <c r="K188" s="335">
        <f t="shared" si="2"/>
        <v>0</v>
      </c>
      <c r="L188" s="335">
        <v>0</v>
      </c>
      <c r="M188" s="335"/>
      <c r="N188" s="335">
        <v>0</v>
      </c>
      <c r="O188" s="232"/>
      <c r="P188" s="232"/>
      <c r="Q188" s="232"/>
      <c r="R188" s="232"/>
      <c r="S188" s="232"/>
      <c r="T188" s="232"/>
    </row>
    <row r="189" spans="1:20" ht="25.5">
      <c r="A189" s="174">
        <v>305</v>
      </c>
      <c r="B189" s="326">
        <v>100</v>
      </c>
      <c r="C189" s="326">
        <v>350</v>
      </c>
      <c r="D189" s="326">
        <v>100</v>
      </c>
      <c r="E189" s="326">
        <v>10</v>
      </c>
      <c r="F189" s="326">
        <v>0</v>
      </c>
      <c r="G189" s="330" t="s">
        <v>2508</v>
      </c>
      <c r="H189" s="330" t="s">
        <v>747</v>
      </c>
      <c r="I189" s="326"/>
      <c r="J189" s="326" t="s">
        <v>1530</v>
      </c>
      <c r="K189" s="334">
        <f t="shared" si="2"/>
        <v>0</v>
      </c>
      <c r="L189" s="334">
        <v>0</v>
      </c>
      <c r="M189" s="334"/>
      <c r="N189" s="334">
        <v>0</v>
      </c>
      <c r="O189" s="232"/>
      <c r="P189" s="232"/>
      <c r="Q189" s="232"/>
      <c r="R189" s="232"/>
      <c r="S189" s="232"/>
      <c r="T189" s="232"/>
    </row>
    <row r="190" spans="1:20" ht="25.5">
      <c r="A190" s="174">
        <v>305</v>
      </c>
      <c r="B190" s="326">
        <v>100</v>
      </c>
      <c r="C190" s="326">
        <v>350</v>
      </c>
      <c r="D190" s="326">
        <v>100</v>
      </c>
      <c r="E190" s="326">
        <v>20</v>
      </c>
      <c r="F190" s="326">
        <v>0</v>
      </c>
      <c r="G190" s="330" t="s">
        <v>2509</v>
      </c>
      <c r="H190" s="330" t="s">
        <v>748</v>
      </c>
      <c r="I190" s="326"/>
      <c r="J190" s="326" t="s">
        <v>1530</v>
      </c>
      <c r="K190" s="334">
        <f t="shared" si="2"/>
        <v>0</v>
      </c>
      <c r="L190" s="334">
        <v>0</v>
      </c>
      <c r="M190" s="334"/>
      <c r="N190" s="334">
        <v>0</v>
      </c>
      <c r="O190" s="232"/>
      <c r="P190" s="232"/>
      <c r="Q190" s="232"/>
      <c r="R190" s="232"/>
      <c r="S190" s="232"/>
      <c r="T190" s="232"/>
    </row>
    <row r="191" spans="1:20">
      <c r="A191" s="174">
        <v>305</v>
      </c>
      <c r="B191" s="326">
        <v>100</v>
      </c>
      <c r="C191" s="326">
        <v>350</v>
      </c>
      <c r="D191" s="326">
        <v>200</v>
      </c>
      <c r="E191" s="326">
        <v>0</v>
      </c>
      <c r="F191" s="326">
        <v>0</v>
      </c>
      <c r="G191" s="330" t="s">
        <v>2510</v>
      </c>
      <c r="H191" s="330" t="s">
        <v>678</v>
      </c>
      <c r="I191" s="326" t="s">
        <v>749</v>
      </c>
      <c r="J191" s="326"/>
      <c r="K191" s="334">
        <f t="shared" si="2"/>
        <v>0</v>
      </c>
      <c r="L191" s="334">
        <v>0</v>
      </c>
      <c r="M191" s="334"/>
      <c r="N191" s="334">
        <v>0</v>
      </c>
      <c r="O191" s="232"/>
      <c r="P191" s="232"/>
      <c r="Q191" s="232"/>
      <c r="R191" s="232"/>
      <c r="S191" s="232"/>
      <c r="T191" s="232"/>
    </row>
    <row r="192" spans="1:20">
      <c r="A192" s="174">
        <v>305</v>
      </c>
      <c r="B192" s="326">
        <v>100</v>
      </c>
      <c r="C192" s="326">
        <v>350</v>
      </c>
      <c r="D192" s="326">
        <v>300</v>
      </c>
      <c r="E192" s="326">
        <v>0</v>
      </c>
      <c r="F192" s="326">
        <v>0</v>
      </c>
      <c r="G192" s="340" t="s">
        <v>2511</v>
      </c>
      <c r="H192" s="340" t="s">
        <v>668</v>
      </c>
      <c r="I192" s="326" t="s">
        <v>750</v>
      </c>
      <c r="J192" s="325" t="s">
        <v>1575</v>
      </c>
      <c r="K192" s="335">
        <f t="shared" si="2"/>
        <v>0</v>
      </c>
      <c r="L192" s="335">
        <v>0</v>
      </c>
      <c r="M192" s="335"/>
      <c r="N192" s="335">
        <v>0</v>
      </c>
      <c r="O192" s="232"/>
      <c r="P192" s="232"/>
      <c r="Q192" s="232"/>
      <c r="R192" s="232"/>
      <c r="S192" s="232"/>
      <c r="T192" s="232"/>
    </row>
    <row r="193" spans="1:20" ht="25.5">
      <c r="A193" s="174">
        <v>305</v>
      </c>
      <c r="B193" s="326">
        <v>100</v>
      </c>
      <c r="C193" s="326">
        <v>350</v>
      </c>
      <c r="D193" s="326">
        <v>300</v>
      </c>
      <c r="E193" s="326">
        <v>10</v>
      </c>
      <c r="F193" s="326">
        <v>0</v>
      </c>
      <c r="G193" s="330" t="s">
        <v>2512</v>
      </c>
      <c r="H193" s="330" t="s">
        <v>751</v>
      </c>
      <c r="I193" s="326"/>
      <c r="J193" s="326" t="s">
        <v>1575</v>
      </c>
      <c r="K193" s="334">
        <f t="shared" si="2"/>
        <v>0</v>
      </c>
      <c r="L193" s="334">
        <v>0</v>
      </c>
      <c r="M193" s="334"/>
      <c r="N193" s="334">
        <v>0</v>
      </c>
      <c r="O193" s="232"/>
      <c r="P193" s="232"/>
      <c r="Q193" s="232"/>
      <c r="R193" s="232"/>
      <c r="S193" s="232"/>
      <c r="T193" s="232"/>
    </row>
    <row r="194" spans="1:20">
      <c r="A194" s="174">
        <v>305</v>
      </c>
      <c r="B194" s="326">
        <v>100</v>
      </c>
      <c r="C194" s="326">
        <v>350</v>
      </c>
      <c r="D194" s="326">
        <v>400</v>
      </c>
      <c r="E194" s="326">
        <v>0</v>
      </c>
      <c r="F194" s="326">
        <v>0</v>
      </c>
      <c r="G194" s="340" t="s">
        <v>2514</v>
      </c>
      <c r="H194" s="340" t="s">
        <v>691</v>
      </c>
      <c r="I194" s="326" t="s">
        <v>753</v>
      </c>
      <c r="J194" s="325"/>
      <c r="K194" s="335">
        <f t="shared" si="2"/>
        <v>0</v>
      </c>
      <c r="L194" s="335">
        <v>0</v>
      </c>
      <c r="M194" s="335"/>
      <c r="N194" s="335">
        <v>0</v>
      </c>
      <c r="O194" s="232"/>
      <c r="P194" s="232"/>
      <c r="Q194" s="232"/>
      <c r="R194" s="232"/>
      <c r="S194" s="232"/>
      <c r="T194" s="232"/>
    </row>
    <row r="195" spans="1:20" ht="25.5">
      <c r="A195" s="174">
        <v>305</v>
      </c>
      <c r="B195" s="326">
        <v>100</v>
      </c>
      <c r="C195" s="326">
        <v>350</v>
      </c>
      <c r="D195" s="326">
        <v>400</v>
      </c>
      <c r="E195" s="326">
        <v>10</v>
      </c>
      <c r="F195" s="326">
        <v>0</v>
      </c>
      <c r="G195" s="330" t="s">
        <v>2515</v>
      </c>
      <c r="H195" s="330" t="s">
        <v>754</v>
      </c>
      <c r="I195" s="326" t="s">
        <v>755</v>
      </c>
      <c r="J195" s="326"/>
      <c r="K195" s="334">
        <f t="shared" si="2"/>
        <v>0</v>
      </c>
      <c r="L195" s="334">
        <v>0</v>
      </c>
      <c r="M195" s="334"/>
      <c r="N195" s="334">
        <v>0</v>
      </c>
      <c r="O195" s="232"/>
      <c r="P195" s="232"/>
      <c r="Q195" s="232"/>
      <c r="R195" s="232"/>
      <c r="S195" s="232"/>
      <c r="T195" s="232"/>
    </row>
    <row r="196" spans="1:20" ht="25.5">
      <c r="A196" s="174">
        <v>305</v>
      </c>
      <c r="B196" s="326">
        <v>100</v>
      </c>
      <c r="C196" s="326">
        <v>350</v>
      </c>
      <c r="D196" s="326">
        <v>400</v>
      </c>
      <c r="E196" s="326">
        <v>20</v>
      </c>
      <c r="F196" s="326">
        <v>0</v>
      </c>
      <c r="G196" s="330" t="s">
        <v>2516</v>
      </c>
      <c r="H196" s="330" t="s">
        <v>756</v>
      </c>
      <c r="I196" s="326" t="s">
        <v>757</v>
      </c>
      <c r="J196" s="326"/>
      <c r="K196" s="334">
        <f t="shared" si="2"/>
        <v>0</v>
      </c>
      <c r="L196" s="334">
        <v>0</v>
      </c>
      <c r="M196" s="334"/>
      <c r="N196" s="334">
        <v>0</v>
      </c>
      <c r="O196" s="232"/>
      <c r="P196" s="232"/>
      <c r="Q196" s="232"/>
      <c r="R196" s="232"/>
      <c r="S196" s="232"/>
      <c r="T196" s="232"/>
    </row>
    <row r="197" spans="1:20" ht="25.5">
      <c r="A197" s="174">
        <v>305</v>
      </c>
      <c r="B197" s="326">
        <v>100</v>
      </c>
      <c r="C197" s="326">
        <v>350</v>
      </c>
      <c r="D197" s="326">
        <v>400</v>
      </c>
      <c r="E197" s="326">
        <v>30</v>
      </c>
      <c r="F197" s="326">
        <v>0</v>
      </c>
      <c r="G197" s="330" t="s">
        <v>2517</v>
      </c>
      <c r="H197" s="330" t="s">
        <v>758</v>
      </c>
      <c r="I197" s="326" t="s">
        <v>759</v>
      </c>
      <c r="J197" s="326"/>
      <c r="K197" s="334">
        <f t="shared" si="2"/>
        <v>0</v>
      </c>
      <c r="L197" s="334">
        <v>0</v>
      </c>
      <c r="M197" s="334"/>
      <c r="N197" s="334">
        <v>0</v>
      </c>
      <c r="O197" s="232"/>
      <c r="P197" s="232"/>
      <c r="Q197" s="232"/>
      <c r="R197" s="232"/>
      <c r="S197" s="232"/>
      <c r="T197" s="232"/>
    </row>
    <row r="198" spans="1:20" ht="25.5">
      <c r="A198" s="174">
        <v>305</v>
      </c>
      <c r="B198" s="326">
        <v>100</v>
      </c>
      <c r="C198" s="326">
        <v>350</v>
      </c>
      <c r="D198" s="326">
        <v>400</v>
      </c>
      <c r="E198" s="326">
        <v>40</v>
      </c>
      <c r="F198" s="326">
        <v>0</v>
      </c>
      <c r="G198" s="330" t="s">
        <v>2518</v>
      </c>
      <c r="H198" s="330" t="s">
        <v>760</v>
      </c>
      <c r="I198" s="326" t="s">
        <v>761</v>
      </c>
      <c r="J198" s="326"/>
      <c r="K198" s="334">
        <f t="shared" si="2"/>
        <v>0</v>
      </c>
      <c r="L198" s="334">
        <v>0</v>
      </c>
      <c r="M198" s="334"/>
      <c r="N198" s="334">
        <v>0</v>
      </c>
      <c r="O198" s="232"/>
      <c r="P198" s="232"/>
      <c r="Q198" s="232"/>
      <c r="R198" s="232"/>
      <c r="S198" s="232"/>
      <c r="T198" s="232"/>
    </row>
    <row r="199" spans="1:20" ht="25.5">
      <c r="A199" s="174">
        <v>305</v>
      </c>
      <c r="B199" s="326">
        <v>100</v>
      </c>
      <c r="C199" s="326">
        <v>350</v>
      </c>
      <c r="D199" s="326">
        <v>500</v>
      </c>
      <c r="E199" s="326">
        <v>0</v>
      </c>
      <c r="F199" s="326">
        <v>0</v>
      </c>
      <c r="G199" s="340" t="s">
        <v>2519</v>
      </c>
      <c r="H199" s="340" t="s">
        <v>709</v>
      </c>
      <c r="I199" s="326" t="s">
        <v>762</v>
      </c>
      <c r="J199" s="326"/>
      <c r="K199" s="334">
        <f t="shared" ref="K199:K262" si="3">+L199+M199</f>
        <v>0</v>
      </c>
      <c r="L199" s="334">
        <v>0</v>
      </c>
      <c r="M199" s="334"/>
      <c r="N199" s="334">
        <v>0</v>
      </c>
      <c r="O199" s="232"/>
      <c r="P199" s="232"/>
      <c r="Q199" s="232"/>
      <c r="R199" s="232"/>
      <c r="S199" s="232"/>
      <c r="T199" s="232"/>
    </row>
    <row r="200" spans="1:20" ht="25.5">
      <c r="A200" s="174">
        <v>305</v>
      </c>
      <c r="B200" s="326">
        <v>100</v>
      </c>
      <c r="C200" s="326">
        <v>400</v>
      </c>
      <c r="D200" s="326">
        <v>0</v>
      </c>
      <c r="E200" s="326">
        <v>0</v>
      </c>
      <c r="F200" s="326">
        <v>0</v>
      </c>
      <c r="G200" s="331" t="s">
        <v>2520</v>
      </c>
      <c r="H200" s="331" t="s">
        <v>763</v>
      </c>
      <c r="I200" s="326" t="s">
        <v>764</v>
      </c>
      <c r="J200" s="325"/>
      <c r="K200" s="335">
        <f t="shared" si="3"/>
        <v>0</v>
      </c>
      <c r="L200" s="335">
        <v>0</v>
      </c>
      <c r="M200" s="335"/>
      <c r="N200" s="335">
        <v>0</v>
      </c>
      <c r="O200" s="232"/>
      <c r="P200" s="232"/>
      <c r="Q200" s="232"/>
      <c r="R200" s="232"/>
      <c r="S200" s="232"/>
      <c r="T200" s="232"/>
    </row>
    <row r="201" spans="1:20" ht="25.5">
      <c r="A201" s="174">
        <v>305</v>
      </c>
      <c r="B201" s="326">
        <v>100</v>
      </c>
      <c r="C201" s="326">
        <v>400</v>
      </c>
      <c r="D201" s="326">
        <v>100</v>
      </c>
      <c r="E201" s="326">
        <v>0</v>
      </c>
      <c r="F201" s="326">
        <v>0</v>
      </c>
      <c r="G201" s="330" t="s">
        <v>2521</v>
      </c>
      <c r="H201" s="330" t="s">
        <v>672</v>
      </c>
      <c r="I201" s="332" t="s">
        <v>765</v>
      </c>
      <c r="J201" s="332" t="s">
        <v>1530</v>
      </c>
      <c r="K201" s="334">
        <f t="shared" si="3"/>
        <v>0</v>
      </c>
      <c r="L201" s="334">
        <v>0</v>
      </c>
      <c r="M201" s="334"/>
      <c r="N201" s="334">
        <v>0</v>
      </c>
      <c r="O201" s="232"/>
      <c r="P201" s="232"/>
      <c r="Q201" s="232"/>
      <c r="R201" s="232"/>
      <c r="S201" s="232"/>
      <c r="T201" s="232"/>
    </row>
    <row r="202" spans="1:20">
      <c r="A202" s="174">
        <v>305</v>
      </c>
      <c r="B202" s="326">
        <v>100</v>
      </c>
      <c r="C202" s="326">
        <v>400</v>
      </c>
      <c r="D202" s="326">
        <v>200</v>
      </c>
      <c r="E202" s="326">
        <v>0</v>
      </c>
      <c r="F202" s="326">
        <v>0</v>
      </c>
      <c r="G202" s="330" t="s">
        <v>2522</v>
      </c>
      <c r="H202" s="330" t="s">
        <v>678</v>
      </c>
      <c r="I202" s="326" t="s">
        <v>766</v>
      </c>
      <c r="J202" s="326"/>
      <c r="K202" s="334">
        <f t="shared" si="3"/>
        <v>0</v>
      </c>
      <c r="L202" s="334">
        <v>0</v>
      </c>
      <c r="M202" s="334"/>
      <c r="N202" s="334">
        <v>0</v>
      </c>
      <c r="O202" s="232"/>
      <c r="P202" s="232"/>
      <c r="Q202" s="232"/>
      <c r="R202" s="232"/>
      <c r="S202" s="232"/>
      <c r="T202" s="232"/>
    </row>
    <row r="203" spans="1:20" ht="25.5">
      <c r="A203" s="174">
        <v>305</v>
      </c>
      <c r="B203" s="326">
        <v>100</v>
      </c>
      <c r="C203" s="326">
        <v>400</v>
      </c>
      <c r="D203" s="326">
        <v>300</v>
      </c>
      <c r="E203" s="326">
        <v>0</v>
      </c>
      <c r="F203" s="326">
        <v>0</v>
      </c>
      <c r="G203" s="330" t="s">
        <v>2523</v>
      </c>
      <c r="H203" s="330" t="s">
        <v>767</v>
      </c>
      <c r="I203" s="326" t="s">
        <v>768</v>
      </c>
      <c r="J203" s="326" t="s">
        <v>1579</v>
      </c>
      <c r="K203" s="334">
        <f t="shared" si="3"/>
        <v>0</v>
      </c>
      <c r="L203" s="334">
        <v>0</v>
      </c>
      <c r="M203" s="334"/>
      <c r="N203" s="334">
        <v>0</v>
      </c>
      <c r="O203" s="232"/>
      <c r="P203" s="232"/>
      <c r="Q203" s="232"/>
      <c r="R203" s="232"/>
      <c r="S203" s="232"/>
      <c r="T203" s="232"/>
    </row>
    <row r="204" spans="1:20">
      <c r="A204" s="174">
        <v>305</v>
      </c>
      <c r="B204" s="326">
        <v>100</v>
      </c>
      <c r="C204" s="326">
        <v>400</v>
      </c>
      <c r="D204" s="326">
        <v>400</v>
      </c>
      <c r="E204" s="326">
        <v>0</v>
      </c>
      <c r="F204" s="326">
        <v>0</v>
      </c>
      <c r="G204" s="330" t="s">
        <v>2524</v>
      </c>
      <c r="H204" s="330" t="s">
        <v>719</v>
      </c>
      <c r="I204" s="326" t="s">
        <v>769</v>
      </c>
      <c r="J204" s="326"/>
      <c r="K204" s="334">
        <f t="shared" si="3"/>
        <v>0</v>
      </c>
      <c r="L204" s="334">
        <v>0</v>
      </c>
      <c r="M204" s="334"/>
      <c r="N204" s="334">
        <v>0</v>
      </c>
      <c r="O204" s="232"/>
      <c r="P204" s="232"/>
      <c r="Q204" s="232"/>
      <c r="R204" s="232"/>
      <c r="S204" s="232"/>
      <c r="T204" s="232"/>
    </row>
    <row r="205" spans="1:20">
      <c r="A205" s="174">
        <v>305</v>
      </c>
      <c r="B205" s="326">
        <v>100</v>
      </c>
      <c r="C205" s="326">
        <v>400</v>
      </c>
      <c r="D205" s="326">
        <v>500</v>
      </c>
      <c r="E205" s="326">
        <v>0</v>
      </c>
      <c r="F205" s="326">
        <v>0</v>
      </c>
      <c r="G205" s="330" t="s">
        <v>2525</v>
      </c>
      <c r="H205" s="330" t="s">
        <v>723</v>
      </c>
      <c r="I205" s="326" t="s">
        <v>770</v>
      </c>
      <c r="J205" s="326"/>
      <c r="K205" s="334">
        <f t="shared" si="3"/>
        <v>0</v>
      </c>
      <c r="L205" s="334">
        <v>0</v>
      </c>
      <c r="M205" s="334"/>
      <c r="N205" s="334">
        <v>0</v>
      </c>
      <c r="O205" s="232"/>
      <c r="P205" s="232"/>
      <c r="Q205" s="232"/>
      <c r="R205" s="232"/>
      <c r="S205" s="232"/>
      <c r="T205" s="232"/>
    </row>
    <row r="206" spans="1:20">
      <c r="A206" s="174">
        <v>305</v>
      </c>
      <c r="B206" s="326">
        <v>100</v>
      </c>
      <c r="C206" s="326">
        <v>450</v>
      </c>
      <c r="D206" s="326">
        <v>0</v>
      </c>
      <c r="E206" s="326">
        <v>0</v>
      </c>
      <c r="F206" s="326">
        <v>0</v>
      </c>
      <c r="G206" s="331" t="s">
        <v>2526</v>
      </c>
      <c r="H206" s="331" t="s">
        <v>771</v>
      </c>
      <c r="I206" s="326" t="s">
        <v>772</v>
      </c>
      <c r="J206" s="325"/>
      <c r="K206" s="335">
        <f t="shared" si="3"/>
        <v>0</v>
      </c>
      <c r="L206" s="335">
        <v>0</v>
      </c>
      <c r="M206" s="335"/>
      <c r="N206" s="335">
        <v>0</v>
      </c>
      <c r="O206" s="232"/>
      <c r="P206" s="232"/>
      <c r="Q206" s="232"/>
      <c r="R206" s="232"/>
      <c r="S206" s="232"/>
      <c r="T206" s="232"/>
    </row>
    <row r="207" spans="1:20" ht="25.5">
      <c r="A207" s="174">
        <v>305</v>
      </c>
      <c r="B207" s="326">
        <v>100</v>
      </c>
      <c r="C207" s="326">
        <v>450</v>
      </c>
      <c r="D207" s="326">
        <v>100</v>
      </c>
      <c r="E207" s="326">
        <v>0</v>
      </c>
      <c r="F207" s="326">
        <v>0</v>
      </c>
      <c r="G207" s="340" t="s">
        <v>2527</v>
      </c>
      <c r="H207" s="340" t="s">
        <v>657</v>
      </c>
      <c r="I207" s="326" t="s">
        <v>773</v>
      </c>
      <c r="J207" s="325" t="s">
        <v>1530</v>
      </c>
      <c r="K207" s="335">
        <f t="shared" si="3"/>
        <v>0</v>
      </c>
      <c r="L207" s="335">
        <v>0</v>
      </c>
      <c r="M207" s="335"/>
      <c r="N207" s="335">
        <v>0</v>
      </c>
      <c r="O207" s="232"/>
      <c r="P207" s="232"/>
      <c r="Q207" s="232"/>
      <c r="R207" s="232"/>
      <c r="S207" s="232"/>
      <c r="T207" s="232"/>
    </row>
    <row r="208" spans="1:20">
      <c r="A208" s="174">
        <v>305</v>
      </c>
      <c r="B208" s="326">
        <v>100</v>
      </c>
      <c r="C208" s="326">
        <v>450</v>
      </c>
      <c r="D208" s="326">
        <v>100</v>
      </c>
      <c r="E208" s="326">
        <v>10</v>
      </c>
      <c r="F208" s="326">
        <v>0</v>
      </c>
      <c r="G208" s="330" t="s">
        <v>2528</v>
      </c>
      <c r="H208" s="330" t="s">
        <v>774</v>
      </c>
      <c r="I208" s="338"/>
      <c r="J208" s="338" t="s">
        <v>1530</v>
      </c>
      <c r="K208" s="334">
        <f t="shared" si="3"/>
        <v>0</v>
      </c>
      <c r="L208" s="334">
        <v>0</v>
      </c>
      <c r="M208" s="334"/>
      <c r="N208" s="334">
        <v>0</v>
      </c>
      <c r="O208" s="232"/>
      <c r="P208" s="232"/>
      <c r="Q208" s="232"/>
      <c r="R208" s="232"/>
      <c r="S208" s="232"/>
      <c r="T208" s="232"/>
    </row>
    <row r="209" spans="1:20">
      <c r="A209" s="174">
        <v>305</v>
      </c>
      <c r="B209" s="326">
        <v>100</v>
      </c>
      <c r="C209" s="326">
        <v>450</v>
      </c>
      <c r="D209" s="326">
        <v>100</v>
      </c>
      <c r="E209" s="326">
        <v>20</v>
      </c>
      <c r="F209" s="326">
        <v>0</v>
      </c>
      <c r="G209" s="330" t="s">
        <v>2529</v>
      </c>
      <c r="H209" s="330" t="s">
        <v>775</v>
      </c>
      <c r="I209" s="338"/>
      <c r="J209" s="338" t="s">
        <v>1530</v>
      </c>
      <c r="K209" s="334">
        <f t="shared" si="3"/>
        <v>0</v>
      </c>
      <c r="L209" s="334">
        <v>0</v>
      </c>
      <c r="M209" s="334"/>
      <c r="N209" s="334">
        <v>0</v>
      </c>
      <c r="O209" s="232"/>
      <c r="P209" s="232"/>
      <c r="Q209" s="232"/>
      <c r="R209" s="232"/>
      <c r="S209" s="232"/>
      <c r="T209" s="232"/>
    </row>
    <row r="210" spans="1:20">
      <c r="A210" s="174">
        <v>305</v>
      </c>
      <c r="B210" s="326">
        <v>100</v>
      </c>
      <c r="C210" s="326">
        <v>450</v>
      </c>
      <c r="D210" s="326">
        <v>200</v>
      </c>
      <c r="E210" s="326">
        <v>0</v>
      </c>
      <c r="F210" s="326">
        <v>0</v>
      </c>
      <c r="G210" s="330" t="s">
        <v>2530</v>
      </c>
      <c r="H210" s="330" t="s">
        <v>678</v>
      </c>
      <c r="I210" s="326" t="s">
        <v>776</v>
      </c>
      <c r="J210" s="326"/>
      <c r="K210" s="334">
        <f t="shared" si="3"/>
        <v>0</v>
      </c>
      <c r="L210" s="334">
        <v>0</v>
      </c>
      <c r="M210" s="334"/>
      <c r="N210" s="334">
        <v>0</v>
      </c>
      <c r="O210" s="232"/>
      <c r="P210" s="232"/>
      <c r="Q210" s="232"/>
      <c r="R210" s="232"/>
      <c r="S210" s="232"/>
      <c r="T210" s="232"/>
    </row>
    <row r="211" spans="1:20">
      <c r="A211" s="174">
        <v>305</v>
      </c>
      <c r="B211" s="326">
        <v>100</v>
      </c>
      <c r="C211" s="326">
        <v>450</v>
      </c>
      <c r="D211" s="326">
        <v>300</v>
      </c>
      <c r="E211" s="326">
        <v>0</v>
      </c>
      <c r="F211" s="326">
        <v>0</v>
      </c>
      <c r="G211" s="330" t="s">
        <v>2531</v>
      </c>
      <c r="H211" s="330" t="s">
        <v>668</v>
      </c>
      <c r="I211" s="326" t="s">
        <v>777</v>
      </c>
      <c r="J211" s="326" t="s">
        <v>1575</v>
      </c>
      <c r="K211" s="334">
        <f t="shared" si="3"/>
        <v>0</v>
      </c>
      <c r="L211" s="334">
        <v>0</v>
      </c>
      <c r="M211" s="334"/>
      <c r="N211" s="334">
        <v>0</v>
      </c>
      <c r="O211" s="232"/>
      <c r="P211" s="232"/>
      <c r="Q211" s="232"/>
      <c r="R211" s="232"/>
      <c r="S211" s="232"/>
      <c r="T211" s="232"/>
    </row>
    <row r="212" spans="1:20">
      <c r="A212" s="174">
        <v>305</v>
      </c>
      <c r="B212" s="326">
        <v>100</v>
      </c>
      <c r="C212" s="326">
        <v>450</v>
      </c>
      <c r="D212" s="326">
        <v>400</v>
      </c>
      <c r="E212" s="326">
        <v>0</v>
      </c>
      <c r="F212" s="326">
        <v>0</v>
      </c>
      <c r="G212" s="340" t="s">
        <v>2532</v>
      </c>
      <c r="H212" s="340" t="s">
        <v>719</v>
      </c>
      <c r="I212" s="326" t="s">
        <v>778</v>
      </c>
      <c r="J212" s="325"/>
      <c r="K212" s="335">
        <f t="shared" si="3"/>
        <v>0</v>
      </c>
      <c r="L212" s="335">
        <v>0</v>
      </c>
      <c r="M212" s="335"/>
      <c r="N212" s="335">
        <v>0</v>
      </c>
      <c r="O212" s="232"/>
      <c r="P212" s="232"/>
      <c r="Q212" s="232"/>
      <c r="R212" s="232"/>
      <c r="S212" s="232"/>
      <c r="T212" s="232"/>
    </row>
    <row r="213" spans="1:20">
      <c r="A213" s="174">
        <v>305</v>
      </c>
      <c r="B213" s="326">
        <v>100</v>
      </c>
      <c r="C213" s="326">
        <v>450</v>
      </c>
      <c r="D213" s="326">
        <v>400</v>
      </c>
      <c r="E213" s="326">
        <v>90</v>
      </c>
      <c r="F213" s="326">
        <v>0</v>
      </c>
      <c r="G213" s="330" t="s">
        <v>2534</v>
      </c>
      <c r="H213" s="330" t="s">
        <v>3459</v>
      </c>
      <c r="I213" s="326"/>
      <c r="J213" s="326"/>
      <c r="K213" s="334">
        <f t="shared" si="3"/>
        <v>0</v>
      </c>
      <c r="L213" s="334">
        <v>0</v>
      </c>
      <c r="M213" s="334"/>
      <c r="N213" s="334">
        <v>0</v>
      </c>
      <c r="O213" s="232"/>
      <c r="P213" s="232"/>
      <c r="Q213" s="232"/>
      <c r="R213" s="232"/>
      <c r="S213" s="232"/>
      <c r="T213" s="232"/>
    </row>
    <row r="214" spans="1:20">
      <c r="A214" s="174">
        <v>305</v>
      </c>
      <c r="B214" s="326">
        <v>100</v>
      </c>
      <c r="C214" s="326">
        <v>450</v>
      </c>
      <c r="D214" s="326">
        <v>500</v>
      </c>
      <c r="E214" s="326">
        <v>0</v>
      </c>
      <c r="F214" s="326">
        <v>0</v>
      </c>
      <c r="G214" s="330" t="s">
        <v>2535</v>
      </c>
      <c r="H214" s="330" t="s">
        <v>723</v>
      </c>
      <c r="I214" s="326" t="s">
        <v>779</v>
      </c>
      <c r="J214" s="326"/>
      <c r="K214" s="334">
        <f t="shared" si="3"/>
        <v>0</v>
      </c>
      <c r="L214" s="334">
        <v>0</v>
      </c>
      <c r="M214" s="334"/>
      <c r="N214" s="334">
        <v>0</v>
      </c>
      <c r="O214" s="232"/>
      <c r="P214" s="232"/>
      <c r="Q214" s="232"/>
      <c r="R214" s="232"/>
      <c r="S214" s="232"/>
      <c r="T214" s="232"/>
    </row>
    <row r="215" spans="1:20" ht="25.5">
      <c r="A215" s="174">
        <v>305</v>
      </c>
      <c r="B215" s="326">
        <v>100</v>
      </c>
      <c r="C215" s="326">
        <v>450</v>
      </c>
      <c r="D215" s="326">
        <v>600</v>
      </c>
      <c r="E215" s="326">
        <v>0</v>
      </c>
      <c r="F215" s="326">
        <v>0</v>
      </c>
      <c r="G215" s="330" t="s">
        <v>2536</v>
      </c>
      <c r="H215" s="330" t="s">
        <v>709</v>
      </c>
      <c r="I215" s="326" t="s">
        <v>780</v>
      </c>
      <c r="J215" s="326"/>
      <c r="K215" s="334">
        <f t="shared" si="3"/>
        <v>0</v>
      </c>
      <c r="L215" s="334">
        <v>0</v>
      </c>
      <c r="M215" s="334"/>
      <c r="N215" s="334">
        <v>0</v>
      </c>
      <c r="O215" s="232"/>
      <c r="P215" s="232"/>
      <c r="Q215" s="232"/>
      <c r="R215" s="232"/>
      <c r="S215" s="232"/>
      <c r="T215" s="232"/>
    </row>
    <row r="216" spans="1:20">
      <c r="A216" s="174">
        <v>305</v>
      </c>
      <c r="B216" s="326">
        <v>100</v>
      </c>
      <c r="C216" s="326">
        <v>500</v>
      </c>
      <c r="D216" s="326">
        <v>0</v>
      </c>
      <c r="E216" s="326">
        <v>0</v>
      </c>
      <c r="F216" s="326">
        <v>0</v>
      </c>
      <c r="G216" s="331" t="s">
        <v>2537</v>
      </c>
      <c r="H216" s="331" t="s">
        <v>781</v>
      </c>
      <c r="I216" s="326" t="s">
        <v>782</v>
      </c>
      <c r="J216" s="325"/>
      <c r="K216" s="335">
        <f t="shared" si="3"/>
        <v>0</v>
      </c>
      <c r="L216" s="335">
        <v>0</v>
      </c>
      <c r="M216" s="335"/>
      <c r="N216" s="335">
        <v>0</v>
      </c>
      <c r="O216" s="232"/>
      <c r="P216" s="232"/>
      <c r="Q216" s="232"/>
      <c r="R216" s="232"/>
      <c r="S216" s="232"/>
      <c r="T216" s="232"/>
    </row>
    <row r="217" spans="1:20" ht="25.5">
      <c r="A217" s="174">
        <v>305</v>
      </c>
      <c r="B217" s="326">
        <v>100</v>
      </c>
      <c r="C217" s="326">
        <v>500</v>
      </c>
      <c r="D217" s="326">
        <v>100</v>
      </c>
      <c r="E217" s="326">
        <v>0</v>
      </c>
      <c r="F217" s="326">
        <v>0</v>
      </c>
      <c r="G217" s="330" t="s">
        <v>2538</v>
      </c>
      <c r="H217" s="330" t="s">
        <v>657</v>
      </c>
      <c r="I217" s="332" t="s">
        <v>783</v>
      </c>
      <c r="J217" s="332" t="s">
        <v>1530</v>
      </c>
      <c r="K217" s="334">
        <f t="shared" si="3"/>
        <v>0</v>
      </c>
      <c r="L217" s="334">
        <v>0</v>
      </c>
      <c r="M217" s="334"/>
      <c r="N217" s="334">
        <v>0</v>
      </c>
      <c r="O217" s="232"/>
      <c r="P217" s="232"/>
      <c r="Q217" s="232"/>
      <c r="R217" s="232"/>
      <c r="S217" s="232"/>
      <c r="T217" s="232"/>
    </row>
    <row r="218" spans="1:20">
      <c r="A218" s="174">
        <v>305</v>
      </c>
      <c r="B218" s="326">
        <v>100</v>
      </c>
      <c r="C218" s="326">
        <v>500</v>
      </c>
      <c r="D218" s="326">
        <v>200</v>
      </c>
      <c r="E218" s="326">
        <v>0</v>
      </c>
      <c r="F218" s="326">
        <v>0</v>
      </c>
      <c r="G218" s="330" t="s">
        <v>2539</v>
      </c>
      <c r="H218" s="330" t="s">
        <v>678</v>
      </c>
      <c r="I218" s="326" t="s">
        <v>784</v>
      </c>
      <c r="J218" s="326"/>
      <c r="K218" s="334">
        <f t="shared" si="3"/>
        <v>0</v>
      </c>
      <c r="L218" s="334">
        <v>0</v>
      </c>
      <c r="M218" s="334"/>
      <c r="N218" s="334">
        <v>0</v>
      </c>
      <c r="O218" s="232"/>
      <c r="P218" s="232"/>
      <c r="Q218" s="232"/>
      <c r="R218" s="232"/>
      <c r="S218" s="232"/>
      <c r="T218" s="232"/>
    </row>
    <row r="219" spans="1:20">
      <c r="A219" s="174">
        <v>305</v>
      </c>
      <c r="B219" s="326">
        <v>100</v>
      </c>
      <c r="C219" s="326">
        <v>500</v>
      </c>
      <c r="D219" s="326">
        <v>300</v>
      </c>
      <c r="E219" s="326">
        <v>0</v>
      </c>
      <c r="F219" s="326">
        <v>0</v>
      </c>
      <c r="G219" s="330" t="s">
        <v>2540</v>
      </c>
      <c r="H219" s="330" t="s">
        <v>668</v>
      </c>
      <c r="I219" s="326" t="s">
        <v>785</v>
      </c>
      <c r="J219" s="326" t="s">
        <v>1575</v>
      </c>
      <c r="K219" s="334">
        <f t="shared" si="3"/>
        <v>0</v>
      </c>
      <c r="L219" s="334">
        <v>0</v>
      </c>
      <c r="M219" s="334"/>
      <c r="N219" s="334">
        <v>0</v>
      </c>
      <c r="O219" s="232"/>
      <c r="P219" s="232"/>
      <c r="Q219" s="232"/>
      <c r="R219" s="232"/>
      <c r="S219" s="232"/>
      <c r="T219" s="232"/>
    </row>
    <row r="220" spans="1:20">
      <c r="A220" s="174">
        <v>305</v>
      </c>
      <c r="B220" s="326">
        <v>100</v>
      </c>
      <c r="C220" s="326">
        <v>500</v>
      </c>
      <c r="D220" s="326">
        <v>400</v>
      </c>
      <c r="E220" s="326">
        <v>0</v>
      </c>
      <c r="F220" s="326">
        <v>0</v>
      </c>
      <c r="G220" s="330" t="s">
        <v>2541</v>
      </c>
      <c r="H220" s="330" t="s">
        <v>691</v>
      </c>
      <c r="I220" s="326" t="s">
        <v>786</v>
      </c>
      <c r="J220" s="326"/>
      <c r="K220" s="334">
        <f t="shared" si="3"/>
        <v>0</v>
      </c>
      <c r="L220" s="334">
        <v>0</v>
      </c>
      <c r="M220" s="334"/>
      <c r="N220" s="334">
        <v>0</v>
      </c>
      <c r="O220" s="232"/>
      <c r="P220" s="232"/>
      <c r="Q220" s="232"/>
      <c r="R220" s="232"/>
      <c r="S220" s="232"/>
      <c r="T220" s="232"/>
    </row>
    <row r="221" spans="1:20" ht="25.5">
      <c r="A221" s="174">
        <v>305</v>
      </c>
      <c r="B221" s="326">
        <v>100</v>
      </c>
      <c r="C221" s="326">
        <v>500</v>
      </c>
      <c r="D221" s="326">
        <v>500</v>
      </c>
      <c r="E221" s="326">
        <v>0</v>
      </c>
      <c r="F221" s="326">
        <v>0</v>
      </c>
      <c r="G221" s="330" t="s">
        <v>2542</v>
      </c>
      <c r="H221" s="330" t="s">
        <v>709</v>
      </c>
      <c r="I221" s="326" t="s">
        <v>787</v>
      </c>
      <c r="J221" s="326"/>
      <c r="K221" s="334">
        <f t="shared" si="3"/>
        <v>0</v>
      </c>
      <c r="L221" s="334">
        <v>0</v>
      </c>
      <c r="M221" s="334"/>
      <c r="N221" s="334">
        <v>0</v>
      </c>
      <c r="O221" s="232"/>
      <c r="P221" s="232"/>
      <c r="Q221" s="232"/>
      <c r="R221" s="232"/>
      <c r="S221" s="232"/>
      <c r="T221" s="232"/>
    </row>
    <row r="222" spans="1:20">
      <c r="A222" s="174">
        <v>305</v>
      </c>
      <c r="B222" s="326">
        <v>100</v>
      </c>
      <c r="C222" s="326">
        <v>550</v>
      </c>
      <c r="D222" s="326">
        <v>0</v>
      </c>
      <c r="E222" s="326">
        <v>0</v>
      </c>
      <c r="F222" s="326">
        <v>0</v>
      </c>
      <c r="G222" s="331" t="s">
        <v>2543</v>
      </c>
      <c r="H222" s="331" t="s">
        <v>788</v>
      </c>
      <c r="I222" s="326" t="s">
        <v>789</v>
      </c>
      <c r="J222" s="325"/>
      <c r="K222" s="335">
        <f t="shared" si="3"/>
        <v>0</v>
      </c>
      <c r="L222" s="335">
        <v>0</v>
      </c>
      <c r="M222" s="335"/>
      <c r="N222" s="335">
        <v>0</v>
      </c>
      <c r="O222" s="232"/>
      <c r="P222" s="232"/>
      <c r="Q222" s="232"/>
      <c r="R222" s="232"/>
      <c r="S222" s="232"/>
      <c r="T222" s="232"/>
    </row>
    <row r="223" spans="1:20" ht="25.5">
      <c r="A223" s="174">
        <v>305</v>
      </c>
      <c r="B223" s="326">
        <v>100</v>
      </c>
      <c r="C223" s="326">
        <v>550</v>
      </c>
      <c r="D223" s="326">
        <v>100</v>
      </c>
      <c r="E223" s="326">
        <v>0</v>
      </c>
      <c r="F223" s="326">
        <v>0</v>
      </c>
      <c r="G223" s="330" t="s">
        <v>2544</v>
      </c>
      <c r="H223" s="330" t="s">
        <v>657</v>
      </c>
      <c r="I223" s="332" t="s">
        <v>790</v>
      </c>
      <c r="J223" s="332" t="s">
        <v>1530</v>
      </c>
      <c r="K223" s="334">
        <f t="shared" si="3"/>
        <v>0</v>
      </c>
      <c r="L223" s="334">
        <v>0</v>
      </c>
      <c r="M223" s="334"/>
      <c r="N223" s="334">
        <v>0</v>
      </c>
      <c r="O223" s="232"/>
      <c r="P223" s="232"/>
      <c r="Q223" s="232"/>
      <c r="R223" s="232"/>
      <c r="S223" s="232"/>
      <c r="T223" s="232"/>
    </row>
    <row r="224" spans="1:20">
      <c r="A224" s="174">
        <v>305</v>
      </c>
      <c r="B224" s="326">
        <v>100</v>
      </c>
      <c r="C224" s="326">
        <v>550</v>
      </c>
      <c r="D224" s="326">
        <v>200</v>
      </c>
      <c r="E224" s="326">
        <v>0</v>
      </c>
      <c r="F224" s="326">
        <v>0</v>
      </c>
      <c r="G224" s="330" t="s">
        <v>2545</v>
      </c>
      <c r="H224" s="330" t="s">
        <v>678</v>
      </c>
      <c r="I224" s="326" t="s">
        <v>791</v>
      </c>
      <c r="J224" s="326"/>
      <c r="K224" s="334">
        <f t="shared" si="3"/>
        <v>0</v>
      </c>
      <c r="L224" s="334">
        <v>0</v>
      </c>
      <c r="M224" s="334"/>
      <c r="N224" s="334">
        <v>0</v>
      </c>
      <c r="O224" s="232"/>
      <c r="P224" s="232"/>
      <c r="Q224" s="232"/>
      <c r="R224" s="232"/>
      <c r="S224" s="232"/>
      <c r="T224" s="232"/>
    </row>
    <row r="225" spans="1:20">
      <c r="A225" s="174">
        <v>305</v>
      </c>
      <c r="B225" s="326">
        <v>100</v>
      </c>
      <c r="C225" s="326">
        <v>550</v>
      </c>
      <c r="D225" s="326">
        <v>300</v>
      </c>
      <c r="E225" s="326">
        <v>0</v>
      </c>
      <c r="F225" s="326">
        <v>0</v>
      </c>
      <c r="G225" s="330" t="s">
        <v>2546</v>
      </c>
      <c r="H225" s="330" t="s">
        <v>668</v>
      </c>
      <c r="I225" s="326" t="s">
        <v>792</v>
      </c>
      <c r="J225" s="326" t="s">
        <v>1575</v>
      </c>
      <c r="K225" s="334">
        <f t="shared" si="3"/>
        <v>0</v>
      </c>
      <c r="L225" s="334">
        <v>0</v>
      </c>
      <c r="M225" s="334"/>
      <c r="N225" s="334">
        <v>0</v>
      </c>
      <c r="O225" s="232"/>
      <c r="P225" s="232"/>
      <c r="Q225" s="232"/>
      <c r="R225" s="232"/>
      <c r="S225" s="232"/>
      <c r="T225" s="232"/>
    </row>
    <row r="226" spans="1:20">
      <c r="A226" s="174">
        <v>305</v>
      </c>
      <c r="B226" s="326">
        <v>100</v>
      </c>
      <c r="C226" s="326">
        <v>550</v>
      </c>
      <c r="D226" s="326">
        <v>400</v>
      </c>
      <c r="E226" s="326">
        <v>0</v>
      </c>
      <c r="F226" s="326">
        <v>0</v>
      </c>
      <c r="G226" s="331" t="s">
        <v>2547</v>
      </c>
      <c r="H226" s="331" t="s">
        <v>691</v>
      </c>
      <c r="I226" s="326" t="s">
        <v>793</v>
      </c>
      <c r="J226" s="325"/>
      <c r="K226" s="335">
        <f t="shared" si="3"/>
        <v>0</v>
      </c>
      <c r="L226" s="335">
        <v>0</v>
      </c>
      <c r="M226" s="335"/>
      <c r="N226" s="335">
        <v>0</v>
      </c>
      <c r="O226" s="232"/>
      <c r="P226" s="232"/>
      <c r="Q226" s="232"/>
      <c r="R226" s="232"/>
      <c r="S226" s="232"/>
      <c r="T226" s="232"/>
    </row>
    <row r="227" spans="1:20">
      <c r="A227" s="174">
        <v>305</v>
      </c>
      <c r="B227" s="326">
        <v>100</v>
      </c>
      <c r="C227" s="326">
        <v>550</v>
      </c>
      <c r="D227" s="326">
        <v>400</v>
      </c>
      <c r="E227" s="326">
        <v>10</v>
      </c>
      <c r="F227" s="175">
        <v>0</v>
      </c>
      <c r="G227" s="330" t="s">
        <v>2548</v>
      </c>
      <c r="H227" s="330" t="s">
        <v>794</v>
      </c>
      <c r="I227" s="326"/>
      <c r="J227" s="326"/>
      <c r="K227" s="334">
        <f t="shared" si="3"/>
        <v>0</v>
      </c>
      <c r="L227" s="334">
        <v>0</v>
      </c>
      <c r="M227" s="334"/>
      <c r="N227" s="334">
        <v>0</v>
      </c>
      <c r="O227" s="232"/>
      <c r="P227" s="232"/>
      <c r="Q227" s="232"/>
      <c r="R227" s="232"/>
      <c r="S227" s="232"/>
      <c r="T227" s="232"/>
    </row>
    <row r="228" spans="1:20">
      <c r="A228" s="174">
        <v>305</v>
      </c>
      <c r="B228" s="326">
        <v>100</v>
      </c>
      <c r="C228" s="326">
        <v>550</v>
      </c>
      <c r="D228" s="326">
        <v>400</v>
      </c>
      <c r="E228" s="326">
        <v>20</v>
      </c>
      <c r="F228" s="175">
        <v>0</v>
      </c>
      <c r="G228" s="330" t="s">
        <v>2549</v>
      </c>
      <c r="H228" s="330" t="s">
        <v>795</v>
      </c>
      <c r="I228" s="326"/>
      <c r="J228" s="326"/>
      <c r="K228" s="334">
        <f t="shared" si="3"/>
        <v>104860.4</v>
      </c>
      <c r="L228" s="334">
        <v>104860.4</v>
      </c>
      <c r="M228" s="334"/>
      <c r="N228" s="334">
        <v>104616.94</v>
      </c>
      <c r="O228" s="232"/>
      <c r="P228" s="232"/>
      <c r="Q228" s="232"/>
      <c r="R228" s="232"/>
      <c r="S228" s="232"/>
      <c r="T228" s="232"/>
    </row>
    <row r="229" spans="1:20">
      <c r="A229" s="174">
        <v>305</v>
      </c>
      <c r="B229" s="326">
        <v>100</v>
      </c>
      <c r="C229" s="326">
        <v>550</v>
      </c>
      <c r="D229" s="326">
        <v>400</v>
      </c>
      <c r="E229" s="326">
        <v>30</v>
      </c>
      <c r="F229" s="175">
        <v>0</v>
      </c>
      <c r="G229" s="330" t="s">
        <v>2550</v>
      </c>
      <c r="H229" s="330" t="s">
        <v>796</v>
      </c>
      <c r="I229" s="326"/>
      <c r="J229" s="326"/>
      <c r="K229" s="334">
        <f t="shared" si="3"/>
        <v>0</v>
      </c>
      <c r="L229" s="334">
        <v>0</v>
      </c>
      <c r="M229" s="334"/>
      <c r="N229" s="334">
        <v>0</v>
      </c>
      <c r="O229" s="232"/>
      <c r="P229" s="232"/>
      <c r="Q229" s="232"/>
      <c r="R229" s="232"/>
      <c r="S229" s="232"/>
      <c r="T229" s="232"/>
    </row>
    <row r="230" spans="1:20">
      <c r="A230" s="174">
        <v>305</v>
      </c>
      <c r="B230" s="326">
        <v>100</v>
      </c>
      <c r="C230" s="326">
        <v>550</v>
      </c>
      <c r="D230" s="326">
        <v>400</v>
      </c>
      <c r="E230" s="326">
        <v>40</v>
      </c>
      <c r="F230" s="175">
        <v>0</v>
      </c>
      <c r="G230" s="330" t="s">
        <v>2551</v>
      </c>
      <c r="H230" s="330" t="s">
        <v>797</v>
      </c>
      <c r="I230" s="326"/>
      <c r="J230" s="326"/>
      <c r="K230" s="334">
        <f t="shared" si="3"/>
        <v>0</v>
      </c>
      <c r="L230" s="334">
        <v>0</v>
      </c>
      <c r="M230" s="334"/>
      <c r="N230" s="334">
        <v>0</v>
      </c>
      <c r="O230" s="232"/>
      <c r="P230" s="232"/>
      <c r="Q230" s="232"/>
      <c r="R230" s="232"/>
      <c r="S230" s="232"/>
      <c r="T230" s="232"/>
    </row>
    <row r="231" spans="1:20">
      <c r="A231" s="174">
        <v>305</v>
      </c>
      <c r="B231" s="326">
        <v>100</v>
      </c>
      <c r="C231" s="326">
        <v>600</v>
      </c>
      <c r="D231" s="326">
        <v>0</v>
      </c>
      <c r="E231" s="326">
        <v>0</v>
      </c>
      <c r="F231" s="326">
        <v>0</v>
      </c>
      <c r="G231" s="331" t="s">
        <v>2552</v>
      </c>
      <c r="H231" s="331" t="s">
        <v>798</v>
      </c>
      <c r="I231" s="332" t="s">
        <v>799</v>
      </c>
      <c r="J231" s="333"/>
      <c r="K231" s="335">
        <f t="shared" si="3"/>
        <v>0</v>
      </c>
      <c r="L231" s="335">
        <v>0</v>
      </c>
      <c r="M231" s="335"/>
      <c r="N231" s="335">
        <v>0</v>
      </c>
      <c r="O231" s="232"/>
      <c r="P231" s="232"/>
      <c r="Q231" s="232"/>
      <c r="R231" s="232"/>
      <c r="S231" s="232"/>
      <c r="T231" s="232"/>
    </row>
    <row r="232" spans="1:20" ht="25.5">
      <c r="A232" s="174">
        <v>305</v>
      </c>
      <c r="B232" s="326">
        <v>100</v>
      </c>
      <c r="C232" s="326">
        <v>600</v>
      </c>
      <c r="D232" s="326">
        <v>100</v>
      </c>
      <c r="E232" s="326">
        <v>0</v>
      </c>
      <c r="F232" s="326">
        <v>0</v>
      </c>
      <c r="G232" s="331" t="s">
        <v>2553</v>
      </c>
      <c r="H232" s="331" t="s">
        <v>657</v>
      </c>
      <c r="I232" s="332" t="s">
        <v>800</v>
      </c>
      <c r="J232" s="333" t="s">
        <v>1530</v>
      </c>
      <c r="K232" s="335">
        <f t="shared" si="3"/>
        <v>0</v>
      </c>
      <c r="L232" s="335">
        <v>0</v>
      </c>
      <c r="M232" s="335"/>
      <c r="N232" s="335">
        <v>0</v>
      </c>
      <c r="O232" s="232"/>
      <c r="P232" s="232"/>
      <c r="Q232" s="232"/>
      <c r="R232" s="232"/>
      <c r="S232" s="232"/>
      <c r="T232" s="232"/>
    </row>
    <row r="233" spans="1:20">
      <c r="A233" s="174">
        <v>305</v>
      </c>
      <c r="B233" s="326">
        <v>100</v>
      </c>
      <c r="C233" s="326">
        <v>600</v>
      </c>
      <c r="D233" s="326">
        <v>100</v>
      </c>
      <c r="E233" s="326">
        <v>10</v>
      </c>
      <c r="F233" s="326">
        <v>0</v>
      </c>
      <c r="G233" s="330" t="s">
        <v>2554</v>
      </c>
      <c r="H233" s="330" t="s">
        <v>801</v>
      </c>
      <c r="I233" s="332" t="s">
        <v>802</v>
      </c>
      <c r="J233" s="333" t="s">
        <v>1530</v>
      </c>
      <c r="K233" s="336">
        <f t="shared" si="3"/>
        <v>0</v>
      </c>
      <c r="L233" s="336">
        <v>0</v>
      </c>
      <c r="M233" s="336"/>
      <c r="N233" s="336">
        <v>0</v>
      </c>
      <c r="O233" s="232"/>
      <c r="P233" s="232"/>
      <c r="Q233" s="232"/>
      <c r="R233" s="232"/>
      <c r="S233" s="232"/>
      <c r="T233" s="232"/>
    </row>
    <row r="234" spans="1:20">
      <c r="A234" s="174">
        <v>305</v>
      </c>
      <c r="B234" s="326">
        <v>100</v>
      </c>
      <c r="C234" s="326">
        <v>600</v>
      </c>
      <c r="D234" s="326">
        <v>100</v>
      </c>
      <c r="E234" s="326">
        <v>20</v>
      </c>
      <c r="F234" s="326">
        <v>0</v>
      </c>
      <c r="G234" s="330" t="s">
        <v>2555</v>
      </c>
      <c r="H234" s="330" t="s">
        <v>803</v>
      </c>
      <c r="I234" s="332" t="s">
        <v>804</v>
      </c>
      <c r="J234" s="333" t="s">
        <v>1530</v>
      </c>
      <c r="K234" s="336">
        <f t="shared" si="3"/>
        <v>0</v>
      </c>
      <c r="L234" s="336">
        <v>0</v>
      </c>
      <c r="M234" s="336"/>
      <c r="N234" s="336">
        <v>0</v>
      </c>
      <c r="O234" s="232"/>
      <c r="P234" s="232"/>
      <c r="Q234" s="232"/>
      <c r="R234" s="232"/>
      <c r="S234" s="232"/>
      <c r="T234" s="232"/>
    </row>
    <row r="235" spans="1:20">
      <c r="A235" s="174">
        <v>305</v>
      </c>
      <c r="B235" s="326">
        <v>100</v>
      </c>
      <c r="C235" s="326">
        <v>600</v>
      </c>
      <c r="D235" s="326">
        <v>200</v>
      </c>
      <c r="E235" s="326">
        <v>0</v>
      </c>
      <c r="F235" s="326">
        <v>0</v>
      </c>
      <c r="G235" s="340" t="s">
        <v>2556</v>
      </c>
      <c r="H235" s="340" t="s">
        <v>805</v>
      </c>
      <c r="I235" s="326" t="s">
        <v>806</v>
      </c>
      <c r="J235" s="325"/>
      <c r="K235" s="335">
        <f t="shared" si="3"/>
        <v>0</v>
      </c>
      <c r="L235" s="335">
        <v>0</v>
      </c>
      <c r="M235" s="335"/>
      <c r="N235" s="335">
        <v>0</v>
      </c>
      <c r="O235" s="232"/>
      <c r="P235" s="232"/>
      <c r="Q235" s="232"/>
      <c r="R235" s="232"/>
      <c r="S235" s="232"/>
      <c r="T235" s="232"/>
    </row>
    <row r="236" spans="1:20">
      <c r="A236" s="174">
        <v>305</v>
      </c>
      <c r="B236" s="326">
        <v>100</v>
      </c>
      <c r="C236" s="326">
        <v>600</v>
      </c>
      <c r="D236" s="326">
        <v>200</v>
      </c>
      <c r="E236" s="326">
        <v>10</v>
      </c>
      <c r="F236" s="175">
        <v>0</v>
      </c>
      <c r="G236" s="330" t="s">
        <v>2557</v>
      </c>
      <c r="H236" s="330" t="s">
        <v>807</v>
      </c>
      <c r="I236" s="326"/>
      <c r="J236" s="326"/>
      <c r="K236" s="334">
        <f t="shared" si="3"/>
        <v>0</v>
      </c>
      <c r="L236" s="334">
        <v>0</v>
      </c>
      <c r="M236" s="334"/>
      <c r="N236" s="334">
        <v>0</v>
      </c>
      <c r="O236" s="232"/>
      <c r="P236" s="232"/>
      <c r="Q236" s="232"/>
      <c r="R236" s="232"/>
      <c r="S236" s="232"/>
      <c r="T236" s="232"/>
    </row>
    <row r="237" spans="1:20" ht="25.5">
      <c r="A237" s="174">
        <v>305</v>
      </c>
      <c r="B237" s="326">
        <v>100</v>
      </c>
      <c r="C237" s="326">
        <v>600</v>
      </c>
      <c r="D237" s="326">
        <v>200</v>
      </c>
      <c r="E237" s="326">
        <v>20</v>
      </c>
      <c r="F237" s="175">
        <v>0</v>
      </c>
      <c r="G237" s="330" t="s">
        <v>2558</v>
      </c>
      <c r="H237" s="330" t="s">
        <v>808</v>
      </c>
      <c r="I237" s="326"/>
      <c r="J237" s="326"/>
      <c r="K237" s="334">
        <f t="shared" si="3"/>
        <v>0</v>
      </c>
      <c r="L237" s="334">
        <v>0</v>
      </c>
      <c r="M237" s="334"/>
      <c r="N237" s="334">
        <v>0</v>
      </c>
      <c r="O237" s="232"/>
      <c r="P237" s="232"/>
      <c r="Q237" s="232"/>
      <c r="R237" s="232"/>
      <c r="S237" s="232"/>
      <c r="T237" s="232"/>
    </row>
    <row r="238" spans="1:20">
      <c r="A238" s="174">
        <v>305</v>
      </c>
      <c r="B238" s="326">
        <v>100</v>
      </c>
      <c r="C238" s="326">
        <v>600</v>
      </c>
      <c r="D238" s="326">
        <v>200</v>
      </c>
      <c r="E238" s="326">
        <v>30</v>
      </c>
      <c r="F238" s="175">
        <v>0</v>
      </c>
      <c r="G238" s="330" t="s">
        <v>2559</v>
      </c>
      <c r="H238" s="330" t="s">
        <v>809</v>
      </c>
      <c r="I238" s="326"/>
      <c r="J238" s="326"/>
      <c r="K238" s="334">
        <f t="shared" si="3"/>
        <v>0</v>
      </c>
      <c r="L238" s="334">
        <v>0</v>
      </c>
      <c r="M238" s="334"/>
      <c r="N238" s="334">
        <v>0</v>
      </c>
      <c r="O238" s="232"/>
      <c r="P238" s="232"/>
      <c r="Q238" s="232"/>
      <c r="R238" s="232"/>
      <c r="S238" s="232"/>
      <c r="T238" s="232"/>
    </row>
    <row r="239" spans="1:20" ht="25.5">
      <c r="A239" s="174">
        <v>305</v>
      </c>
      <c r="B239" s="326">
        <v>100</v>
      </c>
      <c r="C239" s="326">
        <v>600</v>
      </c>
      <c r="D239" s="326">
        <v>200</v>
      </c>
      <c r="E239" s="326">
        <v>90</v>
      </c>
      <c r="F239" s="175">
        <v>0</v>
      </c>
      <c r="G239" s="330" t="s">
        <v>2560</v>
      </c>
      <c r="H239" s="330" t="s">
        <v>810</v>
      </c>
      <c r="I239" s="326"/>
      <c r="J239" s="326"/>
      <c r="K239" s="334">
        <f t="shared" si="3"/>
        <v>0</v>
      </c>
      <c r="L239" s="334">
        <v>0</v>
      </c>
      <c r="M239" s="334"/>
      <c r="N239" s="334">
        <v>0</v>
      </c>
      <c r="O239" s="232"/>
      <c r="P239" s="232"/>
      <c r="Q239" s="232"/>
      <c r="R239" s="232"/>
      <c r="S239" s="232"/>
      <c r="T239" s="232"/>
    </row>
    <row r="240" spans="1:20" ht="38.25">
      <c r="A240" s="174">
        <v>305</v>
      </c>
      <c r="B240" s="326">
        <v>100</v>
      </c>
      <c r="C240" s="326">
        <v>600</v>
      </c>
      <c r="D240" s="326">
        <v>250</v>
      </c>
      <c r="E240" s="326">
        <v>0</v>
      </c>
      <c r="F240" s="175">
        <v>0</v>
      </c>
      <c r="G240" s="330" t="s">
        <v>2561</v>
      </c>
      <c r="H240" s="330" t="s">
        <v>811</v>
      </c>
      <c r="I240" s="326" t="s">
        <v>812</v>
      </c>
      <c r="J240" s="326" t="s">
        <v>1575</v>
      </c>
      <c r="K240" s="334">
        <f t="shared" si="3"/>
        <v>0</v>
      </c>
      <c r="L240" s="334">
        <v>0</v>
      </c>
      <c r="M240" s="334"/>
      <c r="N240" s="334">
        <v>0</v>
      </c>
      <c r="O240" s="232"/>
      <c r="P240" s="232"/>
      <c r="Q240" s="232"/>
      <c r="R240" s="232"/>
      <c r="S240" s="232"/>
      <c r="T240" s="232"/>
    </row>
    <row r="241" spans="1:20" ht="25.5">
      <c r="A241" s="174">
        <v>305</v>
      </c>
      <c r="B241" s="326">
        <v>100</v>
      </c>
      <c r="C241" s="326">
        <v>600</v>
      </c>
      <c r="D241" s="326">
        <v>300</v>
      </c>
      <c r="E241" s="326">
        <v>0</v>
      </c>
      <c r="F241" s="326">
        <v>0</v>
      </c>
      <c r="G241" s="330" t="s">
        <v>2562</v>
      </c>
      <c r="H241" s="330" t="s">
        <v>813</v>
      </c>
      <c r="I241" s="326" t="s">
        <v>814</v>
      </c>
      <c r="J241" s="326" t="s">
        <v>1579</v>
      </c>
      <c r="K241" s="334">
        <f t="shared" si="3"/>
        <v>500178.71</v>
      </c>
      <c r="L241" s="334">
        <v>500178.71</v>
      </c>
      <c r="M241" s="334"/>
      <c r="N241" s="334">
        <v>521160.59</v>
      </c>
      <c r="O241" s="232"/>
      <c r="P241" s="232"/>
      <c r="Q241" s="232"/>
      <c r="R241" s="232"/>
      <c r="S241" s="232"/>
      <c r="T241" s="232"/>
    </row>
    <row r="242" spans="1:20" ht="25.5">
      <c r="A242" s="174">
        <v>305</v>
      </c>
      <c r="B242" s="326">
        <v>100</v>
      </c>
      <c r="C242" s="326">
        <v>600</v>
      </c>
      <c r="D242" s="326">
        <v>310</v>
      </c>
      <c r="E242" s="326">
        <v>0</v>
      </c>
      <c r="F242" s="326">
        <v>0</v>
      </c>
      <c r="G242" s="330" t="s">
        <v>2459</v>
      </c>
      <c r="H242" s="330" t="s">
        <v>684</v>
      </c>
      <c r="I242" s="326" t="s">
        <v>814</v>
      </c>
      <c r="J242" s="326" t="s">
        <v>1575</v>
      </c>
      <c r="K242" s="334">
        <f t="shared" si="3"/>
        <v>0</v>
      </c>
      <c r="L242" s="334">
        <v>0</v>
      </c>
      <c r="M242" s="334"/>
      <c r="N242" s="334">
        <v>0</v>
      </c>
      <c r="O242" s="232"/>
      <c r="P242" s="232"/>
      <c r="Q242" s="232"/>
      <c r="R242" s="232"/>
      <c r="S242" s="232"/>
      <c r="T242" s="232"/>
    </row>
    <row r="243" spans="1:20" ht="25.5">
      <c r="A243" s="174">
        <v>305</v>
      </c>
      <c r="B243" s="326">
        <v>100</v>
      </c>
      <c r="C243" s="326">
        <v>600</v>
      </c>
      <c r="D243" s="326">
        <v>320</v>
      </c>
      <c r="E243" s="326">
        <v>0</v>
      </c>
      <c r="F243" s="326">
        <v>0</v>
      </c>
      <c r="G243" s="330" t="s">
        <v>2513</v>
      </c>
      <c r="H243" s="330" t="s">
        <v>752</v>
      </c>
      <c r="I243" s="326" t="s">
        <v>814</v>
      </c>
      <c r="J243" s="326" t="s">
        <v>1575</v>
      </c>
      <c r="K243" s="334">
        <f t="shared" si="3"/>
        <v>0</v>
      </c>
      <c r="L243" s="334">
        <v>0</v>
      </c>
      <c r="M243" s="334"/>
      <c r="N243" s="334">
        <v>0</v>
      </c>
      <c r="O243" s="232"/>
      <c r="P243" s="232"/>
      <c r="Q243" s="232"/>
      <c r="R243" s="232"/>
      <c r="S243" s="232"/>
      <c r="T243" s="232"/>
    </row>
    <row r="244" spans="1:20">
      <c r="A244" s="174">
        <v>305</v>
      </c>
      <c r="B244" s="326">
        <v>100</v>
      </c>
      <c r="C244" s="326">
        <v>600</v>
      </c>
      <c r="D244" s="326">
        <v>400</v>
      </c>
      <c r="E244" s="326">
        <v>0</v>
      </c>
      <c r="F244" s="326">
        <v>0</v>
      </c>
      <c r="G244" s="340" t="s">
        <v>2563</v>
      </c>
      <c r="H244" s="340" t="s">
        <v>719</v>
      </c>
      <c r="I244" s="326" t="s">
        <v>815</v>
      </c>
      <c r="J244" s="325"/>
      <c r="K244" s="335">
        <f t="shared" si="3"/>
        <v>0</v>
      </c>
      <c r="L244" s="335">
        <v>0</v>
      </c>
      <c r="M244" s="335"/>
      <c r="N244" s="335">
        <v>0</v>
      </c>
      <c r="O244" s="232"/>
      <c r="P244" s="232"/>
      <c r="Q244" s="232"/>
      <c r="R244" s="232"/>
      <c r="S244" s="232"/>
      <c r="T244" s="232"/>
    </row>
    <row r="245" spans="1:20">
      <c r="A245" s="174">
        <v>305</v>
      </c>
      <c r="B245" s="326">
        <v>100</v>
      </c>
      <c r="C245" s="326">
        <v>600</v>
      </c>
      <c r="D245" s="326">
        <v>400</v>
      </c>
      <c r="E245" s="326">
        <v>10</v>
      </c>
      <c r="F245" s="175">
        <v>0</v>
      </c>
      <c r="G245" s="330" t="s">
        <v>2564</v>
      </c>
      <c r="H245" s="330" t="s">
        <v>816</v>
      </c>
      <c r="I245" s="326"/>
      <c r="J245" s="326"/>
      <c r="K245" s="334">
        <f t="shared" si="3"/>
        <v>0</v>
      </c>
      <c r="L245" s="334">
        <v>0</v>
      </c>
      <c r="M245" s="334"/>
      <c r="N245" s="334">
        <v>0</v>
      </c>
      <c r="O245" s="232"/>
      <c r="P245" s="232"/>
      <c r="Q245" s="232"/>
      <c r="R245" s="232"/>
      <c r="S245" s="232"/>
      <c r="T245" s="232"/>
    </row>
    <row r="246" spans="1:20">
      <c r="A246" s="174">
        <v>305</v>
      </c>
      <c r="B246" s="326">
        <v>100</v>
      </c>
      <c r="C246" s="326">
        <v>600</v>
      </c>
      <c r="D246" s="326">
        <v>400</v>
      </c>
      <c r="E246" s="326">
        <v>20</v>
      </c>
      <c r="F246" s="175">
        <v>0</v>
      </c>
      <c r="G246" s="330" t="s">
        <v>2565</v>
      </c>
      <c r="H246" s="330" t="s">
        <v>817</v>
      </c>
      <c r="I246" s="326"/>
      <c r="J246" s="326"/>
      <c r="K246" s="334">
        <f t="shared" si="3"/>
        <v>0</v>
      </c>
      <c r="L246" s="334">
        <v>0</v>
      </c>
      <c r="M246" s="334"/>
      <c r="N246" s="334">
        <v>0</v>
      </c>
      <c r="O246" s="232"/>
      <c r="P246" s="232"/>
      <c r="Q246" s="232"/>
      <c r="R246" s="232"/>
      <c r="S246" s="232"/>
      <c r="T246" s="232"/>
    </row>
    <row r="247" spans="1:20">
      <c r="A247" s="174">
        <v>305</v>
      </c>
      <c r="B247" s="326">
        <v>100</v>
      </c>
      <c r="C247" s="326">
        <v>600</v>
      </c>
      <c r="D247" s="326">
        <v>400</v>
      </c>
      <c r="E247" s="326">
        <v>30</v>
      </c>
      <c r="F247" s="175">
        <v>0</v>
      </c>
      <c r="G247" s="330" t="s">
        <v>2566</v>
      </c>
      <c r="H247" s="330" t="s">
        <v>807</v>
      </c>
      <c r="I247" s="326"/>
      <c r="J247" s="326"/>
      <c r="K247" s="334">
        <f t="shared" si="3"/>
        <v>0</v>
      </c>
      <c r="L247" s="334">
        <v>0</v>
      </c>
      <c r="M247" s="334"/>
      <c r="N247" s="334">
        <v>0</v>
      </c>
      <c r="O247" s="232"/>
      <c r="P247" s="232"/>
      <c r="Q247" s="232"/>
      <c r="R247" s="232"/>
      <c r="S247" s="232"/>
      <c r="T247" s="232"/>
    </row>
    <row r="248" spans="1:20" ht="25.5">
      <c r="A248" s="174">
        <v>305</v>
      </c>
      <c r="B248" s="326">
        <v>100</v>
      </c>
      <c r="C248" s="326">
        <v>600</v>
      </c>
      <c r="D248" s="326">
        <v>400</v>
      </c>
      <c r="E248" s="326">
        <v>40</v>
      </c>
      <c r="F248" s="175">
        <v>0</v>
      </c>
      <c r="G248" s="330" t="s">
        <v>2567</v>
      </c>
      <c r="H248" s="330" t="s">
        <v>808</v>
      </c>
      <c r="I248" s="326"/>
      <c r="J248" s="326"/>
      <c r="K248" s="334">
        <f t="shared" si="3"/>
        <v>0</v>
      </c>
      <c r="L248" s="334">
        <v>0</v>
      </c>
      <c r="M248" s="334"/>
      <c r="N248" s="334">
        <v>0</v>
      </c>
      <c r="O248" s="232"/>
      <c r="P248" s="232"/>
      <c r="Q248" s="232"/>
      <c r="R248" s="232"/>
      <c r="S248" s="232"/>
      <c r="T248" s="232"/>
    </row>
    <row r="249" spans="1:20">
      <c r="A249" s="174">
        <v>305</v>
      </c>
      <c r="B249" s="326">
        <v>100</v>
      </c>
      <c r="C249" s="326">
        <v>600</v>
      </c>
      <c r="D249" s="326">
        <v>400</v>
      </c>
      <c r="E249" s="326">
        <v>50</v>
      </c>
      <c r="F249" s="175">
        <v>0</v>
      </c>
      <c r="G249" s="330" t="s">
        <v>2568</v>
      </c>
      <c r="H249" s="330" t="s">
        <v>809</v>
      </c>
      <c r="I249" s="326"/>
      <c r="J249" s="326"/>
      <c r="K249" s="334">
        <f t="shared" si="3"/>
        <v>0</v>
      </c>
      <c r="L249" s="334">
        <v>0</v>
      </c>
      <c r="M249" s="334"/>
      <c r="N249" s="334">
        <v>0</v>
      </c>
      <c r="O249" s="232"/>
      <c r="P249" s="232"/>
      <c r="Q249" s="232"/>
      <c r="R249" s="232"/>
      <c r="S249" s="232"/>
      <c r="T249" s="232"/>
    </row>
    <row r="250" spans="1:20" ht="25.5">
      <c r="A250" s="174">
        <v>305</v>
      </c>
      <c r="B250" s="326">
        <v>100</v>
      </c>
      <c r="C250" s="326">
        <v>600</v>
      </c>
      <c r="D250" s="326">
        <v>400</v>
      </c>
      <c r="E250" s="326">
        <v>60</v>
      </c>
      <c r="F250" s="175">
        <v>0</v>
      </c>
      <c r="G250" s="330" t="s">
        <v>2569</v>
      </c>
      <c r="H250" s="330" t="s">
        <v>818</v>
      </c>
      <c r="I250" s="326"/>
      <c r="J250" s="326"/>
      <c r="K250" s="334">
        <f t="shared" si="3"/>
        <v>0</v>
      </c>
      <c r="L250" s="334">
        <v>0</v>
      </c>
      <c r="M250" s="334"/>
      <c r="N250" s="334">
        <v>0</v>
      </c>
      <c r="O250" s="232"/>
      <c r="P250" s="232"/>
      <c r="Q250" s="232"/>
      <c r="R250" s="232"/>
      <c r="S250" s="232"/>
      <c r="T250" s="232"/>
    </row>
    <row r="251" spans="1:20">
      <c r="A251" s="174">
        <v>305</v>
      </c>
      <c r="B251" s="326">
        <v>100</v>
      </c>
      <c r="C251" s="326">
        <v>600</v>
      </c>
      <c r="D251" s="326">
        <v>400</v>
      </c>
      <c r="E251" s="326">
        <v>70</v>
      </c>
      <c r="F251" s="175">
        <v>0</v>
      </c>
      <c r="G251" s="330" t="s">
        <v>2570</v>
      </c>
      <c r="H251" s="330" t="s">
        <v>819</v>
      </c>
      <c r="I251" s="326"/>
      <c r="J251" s="326"/>
      <c r="K251" s="334">
        <f t="shared" si="3"/>
        <v>0</v>
      </c>
      <c r="L251" s="334">
        <v>0</v>
      </c>
      <c r="M251" s="334"/>
      <c r="N251" s="334">
        <v>0</v>
      </c>
      <c r="O251" s="232"/>
      <c r="P251" s="232"/>
      <c r="Q251" s="232"/>
      <c r="R251" s="232"/>
      <c r="S251" s="232"/>
      <c r="T251" s="232"/>
    </row>
    <row r="252" spans="1:20">
      <c r="A252" s="174">
        <v>305</v>
      </c>
      <c r="B252" s="326">
        <v>100</v>
      </c>
      <c r="C252" s="326">
        <v>600</v>
      </c>
      <c r="D252" s="326">
        <v>400</v>
      </c>
      <c r="E252" s="326">
        <v>90</v>
      </c>
      <c r="F252" s="175">
        <v>0</v>
      </c>
      <c r="G252" s="330" t="s">
        <v>2571</v>
      </c>
      <c r="H252" s="330" t="s">
        <v>820</v>
      </c>
      <c r="I252" s="326"/>
      <c r="J252" s="326"/>
      <c r="K252" s="334">
        <f t="shared" si="3"/>
        <v>0</v>
      </c>
      <c r="L252" s="334">
        <v>0</v>
      </c>
      <c r="M252" s="334"/>
      <c r="N252" s="334">
        <v>0</v>
      </c>
      <c r="O252" s="232"/>
      <c r="P252" s="232"/>
      <c r="Q252" s="232"/>
      <c r="R252" s="232"/>
      <c r="S252" s="232"/>
      <c r="T252" s="232"/>
    </row>
    <row r="253" spans="1:20">
      <c r="A253" s="174">
        <v>305</v>
      </c>
      <c r="B253" s="326">
        <v>100</v>
      </c>
      <c r="C253" s="326">
        <v>600</v>
      </c>
      <c r="D253" s="326">
        <v>500</v>
      </c>
      <c r="E253" s="326">
        <v>0</v>
      </c>
      <c r="F253" s="326">
        <v>0</v>
      </c>
      <c r="G253" s="340" t="s">
        <v>2572</v>
      </c>
      <c r="H253" s="340" t="s">
        <v>723</v>
      </c>
      <c r="I253" s="326" t="s">
        <v>821</v>
      </c>
      <c r="J253" s="325"/>
      <c r="K253" s="335">
        <f t="shared" si="3"/>
        <v>0</v>
      </c>
      <c r="L253" s="335">
        <v>0</v>
      </c>
      <c r="M253" s="335"/>
      <c r="N253" s="335">
        <v>0</v>
      </c>
      <c r="O253" s="232"/>
      <c r="P253" s="232"/>
      <c r="Q253" s="232"/>
      <c r="R253" s="232"/>
      <c r="S253" s="232"/>
      <c r="T253" s="232"/>
    </row>
    <row r="254" spans="1:20" ht="25.5">
      <c r="A254" s="174">
        <v>305</v>
      </c>
      <c r="B254" s="326">
        <v>100</v>
      </c>
      <c r="C254" s="326">
        <v>600</v>
      </c>
      <c r="D254" s="326">
        <v>500</v>
      </c>
      <c r="E254" s="326">
        <v>10</v>
      </c>
      <c r="F254" s="175">
        <v>0</v>
      </c>
      <c r="G254" s="330" t="s">
        <v>2573</v>
      </c>
      <c r="H254" s="330" t="s">
        <v>818</v>
      </c>
      <c r="I254" s="326"/>
      <c r="J254" s="326"/>
      <c r="K254" s="334">
        <f t="shared" si="3"/>
        <v>0</v>
      </c>
      <c r="L254" s="334">
        <v>0</v>
      </c>
      <c r="M254" s="334"/>
      <c r="N254" s="334">
        <v>0</v>
      </c>
      <c r="O254" s="232"/>
      <c r="P254" s="232"/>
      <c r="Q254" s="232"/>
      <c r="R254" s="232"/>
      <c r="S254" s="232"/>
      <c r="T254" s="232"/>
    </row>
    <row r="255" spans="1:20">
      <c r="A255" s="174">
        <v>305</v>
      </c>
      <c r="B255" s="326">
        <v>100</v>
      </c>
      <c r="C255" s="326">
        <v>600</v>
      </c>
      <c r="D255" s="326">
        <v>500</v>
      </c>
      <c r="E255" s="326">
        <v>90</v>
      </c>
      <c r="F255" s="175">
        <v>0</v>
      </c>
      <c r="G255" s="330" t="s">
        <v>2574</v>
      </c>
      <c r="H255" s="330" t="s">
        <v>822</v>
      </c>
      <c r="I255" s="326"/>
      <c r="J255" s="326"/>
      <c r="K255" s="334">
        <f t="shared" si="3"/>
        <v>0</v>
      </c>
      <c r="L255" s="334">
        <v>0</v>
      </c>
      <c r="M255" s="334"/>
      <c r="N255" s="334">
        <v>0</v>
      </c>
      <c r="O255" s="232"/>
      <c r="P255" s="232"/>
      <c r="Q255" s="232"/>
      <c r="R255" s="232"/>
      <c r="S255" s="232"/>
      <c r="T255" s="232"/>
    </row>
    <row r="256" spans="1:20" ht="25.5">
      <c r="A256" s="174">
        <v>305</v>
      </c>
      <c r="B256" s="326">
        <v>100</v>
      </c>
      <c r="C256" s="326">
        <v>650</v>
      </c>
      <c r="D256" s="326">
        <v>0</v>
      </c>
      <c r="E256" s="326">
        <v>0</v>
      </c>
      <c r="F256" s="326">
        <v>0</v>
      </c>
      <c r="G256" s="331" t="s">
        <v>2575</v>
      </c>
      <c r="H256" s="331" t="s">
        <v>823</v>
      </c>
      <c r="I256" s="326" t="s">
        <v>824</v>
      </c>
      <c r="J256" s="325"/>
      <c r="K256" s="335">
        <f t="shared" si="3"/>
        <v>0</v>
      </c>
      <c r="L256" s="335">
        <v>0</v>
      </c>
      <c r="M256" s="335"/>
      <c r="N256" s="335">
        <v>0</v>
      </c>
      <c r="O256" s="232"/>
      <c r="P256" s="232"/>
      <c r="Q256" s="232"/>
      <c r="R256" s="232"/>
      <c r="S256" s="232"/>
      <c r="T256" s="232"/>
    </row>
    <row r="257" spans="1:20" ht="25.5">
      <c r="A257" s="174">
        <v>305</v>
      </c>
      <c r="B257" s="326">
        <v>100</v>
      </c>
      <c r="C257" s="326">
        <v>650</v>
      </c>
      <c r="D257" s="326">
        <v>100</v>
      </c>
      <c r="E257" s="326">
        <v>0</v>
      </c>
      <c r="F257" s="326">
        <v>0</v>
      </c>
      <c r="G257" s="330" t="s">
        <v>2576</v>
      </c>
      <c r="H257" s="330" t="s">
        <v>825</v>
      </c>
      <c r="I257" s="326" t="s">
        <v>826</v>
      </c>
      <c r="J257" s="326"/>
      <c r="K257" s="334">
        <f t="shared" si="3"/>
        <v>28300</v>
      </c>
      <c r="L257" s="334">
        <v>28300</v>
      </c>
      <c r="M257" s="334"/>
      <c r="N257" s="334">
        <v>80050</v>
      </c>
      <c r="O257" s="232"/>
      <c r="P257" s="232"/>
      <c r="Q257" s="232"/>
      <c r="R257" s="232"/>
      <c r="S257" s="232"/>
      <c r="T257" s="232"/>
    </row>
    <row r="258" spans="1:20" ht="25.5">
      <c r="A258" s="174">
        <v>305</v>
      </c>
      <c r="B258" s="326">
        <v>100</v>
      </c>
      <c r="C258" s="326">
        <v>650</v>
      </c>
      <c r="D258" s="326">
        <v>200</v>
      </c>
      <c r="E258" s="326">
        <v>0</v>
      </c>
      <c r="F258" s="326">
        <v>0</v>
      </c>
      <c r="G258" s="330" t="s">
        <v>2577</v>
      </c>
      <c r="H258" s="330" t="s">
        <v>827</v>
      </c>
      <c r="I258" s="326" t="s">
        <v>828</v>
      </c>
      <c r="J258" s="326"/>
      <c r="K258" s="334">
        <f t="shared" si="3"/>
        <v>633854.23</v>
      </c>
      <c r="L258" s="334">
        <v>633854.23</v>
      </c>
      <c r="M258" s="334"/>
      <c r="N258" s="334">
        <v>608142.81999999995</v>
      </c>
      <c r="O258" s="232"/>
      <c r="P258" s="232"/>
      <c r="Q258" s="232"/>
      <c r="R258" s="232"/>
      <c r="S258" s="232"/>
      <c r="T258" s="232"/>
    </row>
    <row r="259" spans="1:20" ht="25.5">
      <c r="A259" s="174">
        <v>305</v>
      </c>
      <c r="B259" s="326">
        <v>100</v>
      </c>
      <c r="C259" s="326">
        <v>650</v>
      </c>
      <c r="D259" s="326">
        <v>300</v>
      </c>
      <c r="E259" s="326">
        <v>0</v>
      </c>
      <c r="F259" s="326">
        <v>0</v>
      </c>
      <c r="G259" s="330" t="s">
        <v>2578</v>
      </c>
      <c r="H259" s="330" t="s">
        <v>829</v>
      </c>
      <c r="I259" s="326" t="s">
        <v>830</v>
      </c>
      <c r="J259" s="326"/>
      <c r="K259" s="334">
        <f t="shared" si="3"/>
        <v>0</v>
      </c>
      <c r="L259" s="334">
        <v>0</v>
      </c>
      <c r="M259" s="334"/>
      <c r="N259" s="334">
        <v>0</v>
      </c>
      <c r="O259" s="232"/>
      <c r="P259" s="232"/>
      <c r="Q259" s="232"/>
      <c r="R259" s="232"/>
      <c r="S259" s="232"/>
      <c r="T259" s="232"/>
    </row>
    <row r="260" spans="1:20" ht="38.25">
      <c r="A260" s="174">
        <v>305</v>
      </c>
      <c r="B260" s="326">
        <v>100</v>
      </c>
      <c r="C260" s="326">
        <v>650</v>
      </c>
      <c r="D260" s="326">
        <v>400</v>
      </c>
      <c r="E260" s="326">
        <v>0</v>
      </c>
      <c r="F260" s="326">
        <v>0</v>
      </c>
      <c r="G260" s="331" t="s">
        <v>2579</v>
      </c>
      <c r="H260" s="331" t="s">
        <v>831</v>
      </c>
      <c r="I260" s="326" t="s">
        <v>832</v>
      </c>
      <c r="J260" s="325"/>
      <c r="K260" s="335">
        <f t="shared" si="3"/>
        <v>0</v>
      </c>
      <c r="L260" s="335">
        <v>0</v>
      </c>
      <c r="M260" s="335"/>
      <c r="N260" s="335">
        <v>0</v>
      </c>
      <c r="O260" s="232"/>
      <c r="P260" s="232"/>
      <c r="Q260" s="232"/>
      <c r="R260" s="232"/>
      <c r="S260" s="232"/>
      <c r="T260" s="232"/>
    </row>
    <row r="261" spans="1:20" ht="25.5">
      <c r="A261" s="174">
        <v>305</v>
      </c>
      <c r="B261" s="326">
        <v>100</v>
      </c>
      <c r="C261" s="326">
        <v>650</v>
      </c>
      <c r="D261" s="326">
        <v>400</v>
      </c>
      <c r="E261" s="326">
        <v>10</v>
      </c>
      <c r="F261" s="175">
        <v>0</v>
      </c>
      <c r="G261" s="330" t="s">
        <v>2580</v>
      </c>
      <c r="H261" s="330" t="s">
        <v>833</v>
      </c>
      <c r="I261" s="326"/>
      <c r="J261" s="326"/>
      <c r="K261" s="334">
        <f t="shared" si="3"/>
        <v>232988.95</v>
      </c>
      <c r="L261" s="334">
        <v>232988.95</v>
      </c>
      <c r="M261" s="334"/>
      <c r="N261" s="334">
        <v>186713.25</v>
      </c>
      <c r="O261" s="232"/>
      <c r="P261" s="232"/>
      <c r="Q261" s="232"/>
      <c r="R261" s="232"/>
      <c r="S261" s="232"/>
      <c r="T261" s="232"/>
    </row>
    <row r="262" spans="1:20" ht="25.5">
      <c r="A262" s="174">
        <v>305</v>
      </c>
      <c r="B262" s="326">
        <v>100</v>
      </c>
      <c r="C262" s="326">
        <v>650</v>
      </c>
      <c r="D262" s="326">
        <v>400</v>
      </c>
      <c r="E262" s="326">
        <v>20</v>
      </c>
      <c r="F262" s="175">
        <v>0</v>
      </c>
      <c r="G262" s="330" t="s">
        <v>2581</v>
      </c>
      <c r="H262" s="330" t="s">
        <v>834</v>
      </c>
      <c r="I262" s="326"/>
      <c r="J262" s="326"/>
      <c r="K262" s="334">
        <f t="shared" si="3"/>
        <v>0</v>
      </c>
      <c r="L262" s="334">
        <v>0</v>
      </c>
      <c r="M262" s="334"/>
      <c r="N262" s="334">
        <v>0</v>
      </c>
      <c r="O262" s="232"/>
      <c r="P262" s="232"/>
      <c r="Q262" s="232"/>
      <c r="R262" s="232"/>
      <c r="S262" s="232"/>
      <c r="T262" s="232"/>
    </row>
    <row r="263" spans="1:20" ht="25.5">
      <c r="A263" s="174">
        <v>305</v>
      </c>
      <c r="B263" s="326">
        <v>100</v>
      </c>
      <c r="C263" s="326">
        <v>650</v>
      </c>
      <c r="D263" s="326">
        <v>400</v>
      </c>
      <c r="E263" s="326">
        <v>30</v>
      </c>
      <c r="F263" s="175">
        <v>0</v>
      </c>
      <c r="G263" s="330" t="s">
        <v>2582</v>
      </c>
      <c r="H263" s="330" t="s">
        <v>835</v>
      </c>
      <c r="I263" s="326"/>
      <c r="J263" s="326"/>
      <c r="K263" s="334">
        <f t="shared" ref="K263:K326" si="4">+L263+M263</f>
        <v>0</v>
      </c>
      <c r="L263" s="334">
        <v>0</v>
      </c>
      <c r="M263" s="334"/>
      <c r="N263" s="334">
        <v>0</v>
      </c>
      <c r="O263" s="232"/>
      <c r="P263" s="232"/>
      <c r="Q263" s="232"/>
      <c r="R263" s="232"/>
      <c r="S263" s="232"/>
      <c r="T263" s="232"/>
    </row>
    <row r="264" spans="1:20" ht="25.5">
      <c r="A264" s="174">
        <v>305</v>
      </c>
      <c r="B264" s="326">
        <v>100</v>
      </c>
      <c r="C264" s="326">
        <v>650</v>
      </c>
      <c r="D264" s="326">
        <v>400</v>
      </c>
      <c r="E264" s="326">
        <v>90</v>
      </c>
      <c r="F264" s="175">
        <v>0</v>
      </c>
      <c r="G264" s="330" t="s">
        <v>2583</v>
      </c>
      <c r="H264" s="330" t="s">
        <v>836</v>
      </c>
      <c r="I264" s="326"/>
      <c r="J264" s="326"/>
      <c r="K264" s="334">
        <f t="shared" si="4"/>
        <v>0</v>
      </c>
      <c r="L264" s="334">
        <v>0</v>
      </c>
      <c r="M264" s="334"/>
      <c r="N264" s="334">
        <v>0</v>
      </c>
      <c r="O264" s="232"/>
      <c r="P264" s="232"/>
      <c r="Q264" s="232"/>
      <c r="R264" s="232"/>
      <c r="S264" s="232"/>
      <c r="T264" s="232"/>
    </row>
    <row r="265" spans="1:20" ht="38.25">
      <c r="A265" s="174">
        <v>305</v>
      </c>
      <c r="B265" s="326">
        <v>100</v>
      </c>
      <c r="C265" s="326">
        <v>650</v>
      </c>
      <c r="D265" s="326">
        <v>500</v>
      </c>
      <c r="E265" s="326">
        <v>0</v>
      </c>
      <c r="F265" s="326">
        <v>0</v>
      </c>
      <c r="G265" s="331" t="s">
        <v>2584</v>
      </c>
      <c r="H265" s="331" t="s">
        <v>837</v>
      </c>
      <c r="I265" s="326" t="s">
        <v>838</v>
      </c>
      <c r="J265" s="325" t="s">
        <v>1530</v>
      </c>
      <c r="K265" s="335">
        <f t="shared" si="4"/>
        <v>0</v>
      </c>
      <c r="L265" s="335">
        <v>0</v>
      </c>
      <c r="M265" s="335"/>
      <c r="N265" s="335">
        <v>0</v>
      </c>
      <c r="O265" s="232"/>
      <c r="P265" s="232"/>
      <c r="Q265" s="232"/>
      <c r="R265" s="232"/>
      <c r="S265" s="232"/>
      <c r="T265" s="232"/>
    </row>
    <row r="266" spans="1:20" ht="25.5">
      <c r="A266" s="174">
        <v>305</v>
      </c>
      <c r="B266" s="326">
        <v>100</v>
      </c>
      <c r="C266" s="326">
        <v>650</v>
      </c>
      <c r="D266" s="326">
        <v>500</v>
      </c>
      <c r="E266" s="326">
        <v>10</v>
      </c>
      <c r="F266" s="326">
        <v>0</v>
      </c>
      <c r="G266" s="330" t="s">
        <v>2585</v>
      </c>
      <c r="H266" s="330" t="s">
        <v>833</v>
      </c>
      <c r="I266" s="332"/>
      <c r="J266" s="332" t="s">
        <v>1530</v>
      </c>
      <c r="K266" s="334">
        <f t="shared" si="4"/>
        <v>0</v>
      </c>
      <c r="L266" s="334">
        <v>0</v>
      </c>
      <c r="M266" s="334"/>
      <c r="N266" s="334">
        <v>0</v>
      </c>
      <c r="O266" s="232"/>
      <c r="P266" s="232"/>
      <c r="Q266" s="232"/>
      <c r="R266" s="232"/>
      <c r="S266" s="232"/>
      <c r="T266" s="232"/>
    </row>
    <row r="267" spans="1:20" ht="25.5">
      <c r="A267" s="174">
        <v>305</v>
      </c>
      <c r="B267" s="326">
        <v>100</v>
      </c>
      <c r="C267" s="326">
        <v>650</v>
      </c>
      <c r="D267" s="326">
        <v>500</v>
      </c>
      <c r="E267" s="326">
        <v>20</v>
      </c>
      <c r="F267" s="326">
        <v>0</v>
      </c>
      <c r="G267" s="330" t="s">
        <v>2586</v>
      </c>
      <c r="H267" s="330" t="s">
        <v>834</v>
      </c>
      <c r="I267" s="332"/>
      <c r="J267" s="332" t="s">
        <v>1530</v>
      </c>
      <c r="K267" s="334">
        <f t="shared" si="4"/>
        <v>0</v>
      </c>
      <c r="L267" s="334">
        <v>0</v>
      </c>
      <c r="M267" s="334"/>
      <c r="N267" s="334">
        <v>0</v>
      </c>
      <c r="O267" s="232"/>
      <c r="P267" s="232"/>
      <c r="Q267" s="232"/>
      <c r="R267" s="232"/>
      <c r="S267" s="232"/>
      <c r="T267" s="232"/>
    </row>
    <row r="268" spans="1:20" ht="25.5">
      <c r="A268" s="174">
        <v>305</v>
      </c>
      <c r="B268" s="326">
        <v>100</v>
      </c>
      <c r="C268" s="326">
        <v>650</v>
      </c>
      <c r="D268" s="326">
        <v>500</v>
      </c>
      <c r="E268" s="326">
        <v>30</v>
      </c>
      <c r="F268" s="326">
        <v>0</v>
      </c>
      <c r="G268" s="330" t="s">
        <v>2587</v>
      </c>
      <c r="H268" s="330" t="s">
        <v>835</v>
      </c>
      <c r="I268" s="332"/>
      <c r="J268" s="332" t="s">
        <v>1530</v>
      </c>
      <c r="K268" s="334">
        <f t="shared" si="4"/>
        <v>0</v>
      </c>
      <c r="L268" s="334">
        <v>0</v>
      </c>
      <c r="M268" s="334"/>
      <c r="N268" s="334">
        <v>0</v>
      </c>
      <c r="O268" s="232"/>
      <c r="P268" s="232"/>
      <c r="Q268" s="232"/>
      <c r="R268" s="232"/>
      <c r="S268" s="232"/>
      <c r="T268" s="232"/>
    </row>
    <row r="269" spans="1:20" ht="25.5">
      <c r="A269" s="174">
        <v>305</v>
      </c>
      <c r="B269" s="326">
        <v>100</v>
      </c>
      <c r="C269" s="326">
        <v>650</v>
      </c>
      <c r="D269" s="326">
        <v>500</v>
      </c>
      <c r="E269" s="326">
        <v>90</v>
      </c>
      <c r="F269" s="326">
        <v>0</v>
      </c>
      <c r="G269" s="330" t="s">
        <v>2588</v>
      </c>
      <c r="H269" s="330" t="s">
        <v>836</v>
      </c>
      <c r="I269" s="332"/>
      <c r="J269" s="332" t="s">
        <v>1530</v>
      </c>
      <c r="K269" s="334">
        <f t="shared" si="4"/>
        <v>0</v>
      </c>
      <c r="L269" s="334">
        <v>0</v>
      </c>
      <c r="M269" s="334"/>
      <c r="N269" s="334">
        <v>0</v>
      </c>
      <c r="O269" s="232"/>
      <c r="P269" s="232"/>
      <c r="Q269" s="232"/>
      <c r="R269" s="232"/>
      <c r="S269" s="232"/>
      <c r="T269" s="232"/>
    </row>
    <row r="270" spans="1:20" ht="25.5">
      <c r="A270" s="174">
        <v>305</v>
      </c>
      <c r="B270" s="326">
        <v>100</v>
      </c>
      <c r="C270" s="326">
        <v>650</v>
      </c>
      <c r="D270" s="326">
        <v>600</v>
      </c>
      <c r="E270" s="326">
        <v>0</v>
      </c>
      <c r="F270" s="326">
        <v>0</v>
      </c>
      <c r="G270" s="331" t="s">
        <v>2589</v>
      </c>
      <c r="H270" s="331" t="s">
        <v>839</v>
      </c>
      <c r="I270" s="326" t="s">
        <v>840</v>
      </c>
      <c r="J270" s="325"/>
      <c r="K270" s="335">
        <f t="shared" si="4"/>
        <v>0</v>
      </c>
      <c r="L270" s="335">
        <v>0</v>
      </c>
      <c r="M270" s="335"/>
      <c r="N270" s="335">
        <v>0</v>
      </c>
      <c r="O270" s="232"/>
      <c r="P270" s="232"/>
      <c r="Q270" s="232"/>
      <c r="R270" s="232"/>
      <c r="S270" s="232"/>
      <c r="T270" s="232"/>
    </row>
    <row r="271" spans="1:20" ht="25.5">
      <c r="A271" s="174">
        <v>305</v>
      </c>
      <c r="B271" s="326">
        <v>100</v>
      </c>
      <c r="C271" s="326">
        <v>650</v>
      </c>
      <c r="D271" s="326">
        <v>600</v>
      </c>
      <c r="E271" s="326">
        <v>5</v>
      </c>
      <c r="F271" s="175">
        <v>0</v>
      </c>
      <c r="G271" s="330" t="s">
        <v>2590</v>
      </c>
      <c r="H271" s="330" t="s">
        <v>841</v>
      </c>
      <c r="I271" s="326"/>
      <c r="J271" s="326"/>
      <c r="K271" s="334">
        <f t="shared" si="4"/>
        <v>0</v>
      </c>
      <c r="L271" s="334">
        <v>0</v>
      </c>
      <c r="M271" s="334"/>
      <c r="N271" s="334">
        <v>0</v>
      </c>
      <c r="O271" s="232"/>
      <c r="P271" s="232"/>
      <c r="Q271" s="232"/>
      <c r="R271" s="232"/>
      <c r="S271" s="232"/>
      <c r="T271" s="232"/>
    </row>
    <row r="272" spans="1:20" ht="25.5">
      <c r="A272" s="174">
        <v>305</v>
      </c>
      <c r="B272" s="326">
        <v>100</v>
      </c>
      <c r="C272" s="326">
        <v>650</v>
      </c>
      <c r="D272" s="326">
        <v>600</v>
      </c>
      <c r="E272" s="326">
        <v>10</v>
      </c>
      <c r="F272" s="175">
        <v>0</v>
      </c>
      <c r="G272" s="330" t="s">
        <v>2591</v>
      </c>
      <c r="H272" s="330" t="s">
        <v>842</v>
      </c>
      <c r="I272" s="326"/>
      <c r="J272" s="326"/>
      <c r="K272" s="334">
        <f t="shared" si="4"/>
        <v>0</v>
      </c>
      <c r="L272" s="334">
        <v>0</v>
      </c>
      <c r="M272" s="334"/>
      <c r="N272" s="334">
        <v>0</v>
      </c>
      <c r="O272" s="232"/>
      <c r="P272" s="232"/>
      <c r="Q272" s="232"/>
      <c r="R272" s="232"/>
      <c r="S272" s="232"/>
      <c r="T272" s="232"/>
    </row>
    <row r="273" spans="1:20" ht="25.5">
      <c r="A273" s="174">
        <v>305</v>
      </c>
      <c r="B273" s="326">
        <v>100</v>
      </c>
      <c r="C273" s="326">
        <v>650</v>
      </c>
      <c r="D273" s="326">
        <v>600</v>
      </c>
      <c r="E273" s="326">
        <v>15</v>
      </c>
      <c r="F273" s="175">
        <v>0</v>
      </c>
      <c r="G273" s="330" t="s">
        <v>2592</v>
      </c>
      <c r="H273" s="330" t="s">
        <v>843</v>
      </c>
      <c r="I273" s="326"/>
      <c r="J273" s="326"/>
      <c r="K273" s="334">
        <f t="shared" si="4"/>
        <v>0</v>
      </c>
      <c r="L273" s="334">
        <v>0</v>
      </c>
      <c r="M273" s="334"/>
      <c r="N273" s="334">
        <v>0</v>
      </c>
      <c r="O273" s="232"/>
      <c r="P273" s="232"/>
      <c r="Q273" s="232"/>
      <c r="R273" s="232"/>
      <c r="S273" s="232"/>
      <c r="T273" s="232"/>
    </row>
    <row r="274" spans="1:20" ht="25.5">
      <c r="A274" s="174">
        <v>305</v>
      </c>
      <c r="B274" s="326">
        <v>100</v>
      </c>
      <c r="C274" s="326">
        <v>650</v>
      </c>
      <c r="D274" s="326">
        <v>600</v>
      </c>
      <c r="E274" s="326">
        <v>20</v>
      </c>
      <c r="F274" s="175">
        <v>0</v>
      </c>
      <c r="G274" s="330" t="s">
        <v>2593</v>
      </c>
      <c r="H274" s="330" t="s">
        <v>844</v>
      </c>
      <c r="I274" s="326"/>
      <c r="J274" s="326"/>
      <c r="K274" s="334">
        <f t="shared" si="4"/>
        <v>2364</v>
      </c>
      <c r="L274" s="334">
        <v>2364</v>
      </c>
      <c r="M274" s="334"/>
      <c r="N274" s="334">
        <v>7430.8</v>
      </c>
      <c r="O274" s="232"/>
      <c r="P274" s="232"/>
      <c r="Q274" s="232"/>
      <c r="R274" s="232"/>
      <c r="S274" s="232"/>
      <c r="T274" s="232"/>
    </row>
    <row r="275" spans="1:20" ht="25.5">
      <c r="A275" s="174">
        <v>305</v>
      </c>
      <c r="B275" s="326">
        <v>100</v>
      </c>
      <c r="C275" s="326">
        <v>650</v>
      </c>
      <c r="D275" s="326">
        <v>600</v>
      </c>
      <c r="E275" s="326">
        <v>25</v>
      </c>
      <c r="F275" s="175">
        <v>0</v>
      </c>
      <c r="G275" s="330" t="s">
        <v>2594</v>
      </c>
      <c r="H275" s="330" t="s">
        <v>845</v>
      </c>
      <c r="I275" s="326"/>
      <c r="J275" s="326"/>
      <c r="K275" s="334">
        <f t="shared" si="4"/>
        <v>0</v>
      </c>
      <c r="L275" s="334">
        <v>0</v>
      </c>
      <c r="M275" s="334"/>
      <c r="N275" s="334">
        <v>0</v>
      </c>
      <c r="O275" s="232"/>
      <c r="P275" s="232"/>
      <c r="Q275" s="232"/>
      <c r="R275" s="232"/>
      <c r="S275" s="232"/>
      <c r="T275" s="232"/>
    </row>
    <row r="276" spans="1:20" ht="25.5">
      <c r="A276" s="174">
        <v>305</v>
      </c>
      <c r="B276" s="326">
        <v>100</v>
      </c>
      <c r="C276" s="326">
        <v>650</v>
      </c>
      <c r="D276" s="326">
        <v>600</v>
      </c>
      <c r="E276" s="326">
        <v>30</v>
      </c>
      <c r="F276" s="175">
        <v>0</v>
      </c>
      <c r="G276" s="330" t="s">
        <v>2595</v>
      </c>
      <c r="H276" s="330" t="s">
        <v>846</v>
      </c>
      <c r="I276" s="326"/>
      <c r="J276" s="326"/>
      <c r="K276" s="334">
        <f t="shared" si="4"/>
        <v>0</v>
      </c>
      <c r="L276" s="334">
        <v>0</v>
      </c>
      <c r="M276" s="334"/>
      <c r="N276" s="334">
        <v>0</v>
      </c>
      <c r="O276" s="232"/>
      <c r="P276" s="232"/>
      <c r="Q276" s="232"/>
      <c r="R276" s="232"/>
      <c r="S276" s="232"/>
      <c r="T276" s="232"/>
    </row>
    <row r="277" spans="1:20" ht="25.5">
      <c r="A277" s="174">
        <v>305</v>
      </c>
      <c r="B277" s="326">
        <v>100</v>
      </c>
      <c r="C277" s="326">
        <v>650</v>
      </c>
      <c r="D277" s="326">
        <v>600</v>
      </c>
      <c r="E277" s="326">
        <v>35</v>
      </c>
      <c r="F277" s="175">
        <v>0</v>
      </c>
      <c r="G277" s="330" t="s">
        <v>2596</v>
      </c>
      <c r="H277" s="330" t="s">
        <v>847</v>
      </c>
      <c r="I277" s="326"/>
      <c r="J277" s="326"/>
      <c r="K277" s="334">
        <f t="shared" si="4"/>
        <v>0</v>
      </c>
      <c r="L277" s="334">
        <v>0</v>
      </c>
      <c r="M277" s="334"/>
      <c r="N277" s="334">
        <v>0</v>
      </c>
      <c r="O277" s="232"/>
      <c r="P277" s="232"/>
      <c r="Q277" s="232"/>
      <c r="R277" s="232"/>
      <c r="S277" s="232"/>
      <c r="T277" s="232"/>
    </row>
    <row r="278" spans="1:20">
      <c r="A278" s="174">
        <v>305</v>
      </c>
      <c r="B278" s="326">
        <v>100</v>
      </c>
      <c r="C278" s="326">
        <v>650</v>
      </c>
      <c r="D278" s="326">
        <v>600</v>
      </c>
      <c r="E278" s="326">
        <v>40</v>
      </c>
      <c r="F278" s="175">
        <v>0</v>
      </c>
      <c r="G278" s="330" t="s">
        <v>2597</v>
      </c>
      <c r="H278" s="330" t="s">
        <v>848</v>
      </c>
      <c r="I278" s="326"/>
      <c r="J278" s="326"/>
      <c r="K278" s="334">
        <f t="shared" si="4"/>
        <v>22323.24</v>
      </c>
      <c r="L278" s="334">
        <v>22323.24</v>
      </c>
      <c r="M278" s="334"/>
      <c r="N278" s="334">
        <v>27741.49</v>
      </c>
      <c r="O278" s="232"/>
      <c r="P278" s="232"/>
      <c r="Q278" s="232"/>
      <c r="R278" s="232"/>
      <c r="S278" s="232"/>
      <c r="T278" s="232"/>
    </row>
    <row r="279" spans="1:20">
      <c r="A279" s="174">
        <v>305</v>
      </c>
      <c r="B279" s="326">
        <v>100</v>
      </c>
      <c r="C279" s="326">
        <v>650</v>
      </c>
      <c r="D279" s="326">
        <v>600</v>
      </c>
      <c r="E279" s="326">
        <v>45</v>
      </c>
      <c r="F279" s="175">
        <v>0</v>
      </c>
      <c r="G279" s="330" t="s">
        <v>2598</v>
      </c>
      <c r="H279" s="330" t="s">
        <v>849</v>
      </c>
      <c r="I279" s="326"/>
      <c r="J279" s="326"/>
      <c r="K279" s="334">
        <f t="shared" si="4"/>
        <v>44842.03</v>
      </c>
      <c r="L279" s="334">
        <v>44842.03</v>
      </c>
      <c r="M279" s="334"/>
      <c r="N279" s="334">
        <v>43753.33</v>
      </c>
      <c r="O279" s="232"/>
      <c r="P279" s="232"/>
      <c r="Q279" s="232"/>
      <c r="R279" s="232"/>
      <c r="S279" s="232"/>
      <c r="T279" s="232"/>
    </row>
    <row r="280" spans="1:20" ht="25.5">
      <c r="A280" s="174">
        <v>305</v>
      </c>
      <c r="B280" s="326">
        <v>100</v>
      </c>
      <c r="C280" s="326">
        <v>650</v>
      </c>
      <c r="D280" s="326">
        <v>600</v>
      </c>
      <c r="E280" s="326">
        <v>50</v>
      </c>
      <c r="F280" s="175">
        <v>0</v>
      </c>
      <c r="G280" s="330" t="s">
        <v>2599</v>
      </c>
      <c r="H280" s="330" t="s">
        <v>839</v>
      </c>
      <c r="I280" s="326"/>
      <c r="J280" s="326"/>
      <c r="K280" s="334">
        <f t="shared" si="4"/>
        <v>0</v>
      </c>
      <c r="L280" s="334">
        <v>0</v>
      </c>
      <c r="M280" s="334"/>
      <c r="N280" s="334">
        <v>0</v>
      </c>
      <c r="O280" s="232"/>
      <c r="P280" s="232"/>
      <c r="Q280" s="232"/>
      <c r="R280" s="232"/>
      <c r="S280" s="232"/>
      <c r="T280" s="232"/>
    </row>
    <row r="281" spans="1:20" ht="25.5">
      <c r="A281" s="174">
        <v>305</v>
      </c>
      <c r="B281" s="326">
        <v>100</v>
      </c>
      <c r="C281" s="326">
        <v>650</v>
      </c>
      <c r="D281" s="326">
        <v>600</v>
      </c>
      <c r="E281" s="326">
        <v>90</v>
      </c>
      <c r="F281" s="175">
        <v>0</v>
      </c>
      <c r="G281" s="330" t="s">
        <v>2600</v>
      </c>
      <c r="H281" s="330" t="s">
        <v>836</v>
      </c>
      <c r="I281" s="326"/>
      <c r="J281" s="326"/>
      <c r="K281" s="334">
        <f t="shared" si="4"/>
        <v>0</v>
      </c>
      <c r="L281" s="334">
        <v>0</v>
      </c>
      <c r="M281" s="334"/>
      <c r="N281" s="334">
        <v>0</v>
      </c>
      <c r="O281" s="232"/>
      <c r="P281" s="232"/>
      <c r="Q281" s="232"/>
      <c r="R281" s="232"/>
      <c r="S281" s="232"/>
      <c r="T281" s="232"/>
    </row>
    <row r="282" spans="1:20" ht="38.25">
      <c r="A282" s="174">
        <v>305</v>
      </c>
      <c r="B282" s="326">
        <v>100</v>
      </c>
      <c r="C282" s="326">
        <v>650</v>
      </c>
      <c r="D282" s="326">
        <v>700</v>
      </c>
      <c r="E282" s="326">
        <v>0</v>
      </c>
      <c r="F282" s="326">
        <v>0</v>
      </c>
      <c r="G282" s="331" t="s">
        <v>2601</v>
      </c>
      <c r="H282" s="331" t="s">
        <v>850</v>
      </c>
      <c r="I282" s="326" t="s">
        <v>851</v>
      </c>
      <c r="J282" s="325" t="s">
        <v>1530</v>
      </c>
      <c r="K282" s="335">
        <f t="shared" si="4"/>
        <v>0</v>
      </c>
      <c r="L282" s="335">
        <v>0</v>
      </c>
      <c r="M282" s="335"/>
      <c r="N282" s="335">
        <v>0</v>
      </c>
      <c r="O282" s="232"/>
      <c r="P282" s="232"/>
      <c r="Q282" s="232"/>
      <c r="R282" s="232"/>
      <c r="S282" s="232"/>
      <c r="T282" s="232"/>
    </row>
    <row r="283" spans="1:20" ht="25.5">
      <c r="A283" s="174">
        <v>305</v>
      </c>
      <c r="B283" s="326">
        <v>100</v>
      </c>
      <c r="C283" s="326">
        <v>650</v>
      </c>
      <c r="D283" s="326">
        <v>700</v>
      </c>
      <c r="E283" s="326">
        <v>5</v>
      </c>
      <c r="F283" s="326">
        <v>0</v>
      </c>
      <c r="G283" s="330" t="s">
        <v>2602</v>
      </c>
      <c r="H283" s="330" t="s">
        <v>841</v>
      </c>
      <c r="I283" s="332"/>
      <c r="J283" s="332" t="s">
        <v>1530</v>
      </c>
      <c r="K283" s="334">
        <f t="shared" si="4"/>
        <v>0</v>
      </c>
      <c r="L283" s="334">
        <v>0</v>
      </c>
      <c r="M283" s="334"/>
      <c r="N283" s="334">
        <v>0</v>
      </c>
      <c r="O283" s="232"/>
      <c r="P283" s="232"/>
      <c r="Q283" s="232"/>
      <c r="R283" s="232"/>
      <c r="S283" s="232"/>
      <c r="T283" s="232"/>
    </row>
    <row r="284" spans="1:20" ht="25.5">
      <c r="A284" s="174">
        <v>305</v>
      </c>
      <c r="B284" s="326">
        <v>100</v>
      </c>
      <c r="C284" s="326">
        <v>650</v>
      </c>
      <c r="D284" s="326">
        <v>700</v>
      </c>
      <c r="E284" s="326">
        <v>10</v>
      </c>
      <c r="F284" s="326">
        <v>0</v>
      </c>
      <c r="G284" s="330" t="s">
        <v>2603</v>
      </c>
      <c r="H284" s="330" t="s">
        <v>842</v>
      </c>
      <c r="I284" s="332"/>
      <c r="J284" s="332" t="s">
        <v>1530</v>
      </c>
      <c r="K284" s="334">
        <f t="shared" si="4"/>
        <v>0</v>
      </c>
      <c r="L284" s="334">
        <v>0</v>
      </c>
      <c r="M284" s="334"/>
      <c r="N284" s="334">
        <v>0</v>
      </c>
      <c r="O284" s="232"/>
      <c r="P284" s="232"/>
      <c r="Q284" s="232"/>
      <c r="R284" s="232"/>
      <c r="S284" s="232"/>
      <c r="T284" s="232"/>
    </row>
    <row r="285" spans="1:20" ht="25.5">
      <c r="A285" s="174">
        <v>305</v>
      </c>
      <c r="B285" s="326">
        <v>100</v>
      </c>
      <c r="C285" s="326">
        <v>650</v>
      </c>
      <c r="D285" s="326">
        <v>700</v>
      </c>
      <c r="E285" s="326">
        <v>15</v>
      </c>
      <c r="F285" s="326">
        <v>0</v>
      </c>
      <c r="G285" s="330" t="s">
        <v>2604</v>
      </c>
      <c r="H285" s="330" t="s">
        <v>843</v>
      </c>
      <c r="I285" s="332"/>
      <c r="J285" s="332" t="s">
        <v>1530</v>
      </c>
      <c r="K285" s="334">
        <f t="shared" si="4"/>
        <v>0</v>
      </c>
      <c r="L285" s="334">
        <v>0</v>
      </c>
      <c r="M285" s="334"/>
      <c r="N285" s="334">
        <v>0</v>
      </c>
      <c r="O285" s="232"/>
      <c r="P285" s="232"/>
      <c r="Q285" s="232"/>
      <c r="R285" s="232"/>
      <c r="S285" s="232"/>
      <c r="T285" s="232"/>
    </row>
    <row r="286" spans="1:20" ht="25.5">
      <c r="A286" s="174">
        <v>305</v>
      </c>
      <c r="B286" s="326">
        <v>100</v>
      </c>
      <c r="C286" s="326">
        <v>650</v>
      </c>
      <c r="D286" s="326">
        <v>700</v>
      </c>
      <c r="E286" s="326">
        <v>20</v>
      </c>
      <c r="F286" s="326">
        <v>0</v>
      </c>
      <c r="G286" s="330" t="s">
        <v>2605</v>
      </c>
      <c r="H286" s="330" t="s">
        <v>844</v>
      </c>
      <c r="I286" s="332"/>
      <c r="J286" s="332" t="s">
        <v>1530</v>
      </c>
      <c r="K286" s="334">
        <f t="shared" si="4"/>
        <v>0</v>
      </c>
      <c r="L286" s="334">
        <v>0</v>
      </c>
      <c r="M286" s="334"/>
      <c r="N286" s="334">
        <v>0</v>
      </c>
      <c r="O286" s="232"/>
      <c r="P286" s="232"/>
      <c r="Q286" s="232"/>
      <c r="R286" s="232"/>
      <c r="S286" s="232"/>
      <c r="T286" s="232"/>
    </row>
    <row r="287" spans="1:20" ht="25.5">
      <c r="A287" s="174">
        <v>305</v>
      </c>
      <c r="B287" s="326">
        <v>100</v>
      </c>
      <c r="C287" s="326">
        <v>650</v>
      </c>
      <c r="D287" s="326">
        <v>700</v>
      </c>
      <c r="E287" s="326">
        <v>25</v>
      </c>
      <c r="F287" s="326">
        <v>0</v>
      </c>
      <c r="G287" s="330" t="s">
        <v>2606</v>
      </c>
      <c r="H287" s="330" t="s">
        <v>845</v>
      </c>
      <c r="I287" s="332"/>
      <c r="J287" s="332" t="s">
        <v>1530</v>
      </c>
      <c r="K287" s="334">
        <f t="shared" si="4"/>
        <v>0</v>
      </c>
      <c r="L287" s="334">
        <v>0</v>
      </c>
      <c r="M287" s="334"/>
      <c r="N287" s="334">
        <v>0</v>
      </c>
      <c r="O287" s="232"/>
      <c r="P287" s="232"/>
      <c r="Q287" s="232"/>
      <c r="R287" s="232"/>
      <c r="S287" s="232"/>
      <c r="T287" s="232"/>
    </row>
    <row r="288" spans="1:20" ht="25.5">
      <c r="A288" s="174">
        <v>305</v>
      </c>
      <c r="B288" s="326">
        <v>100</v>
      </c>
      <c r="C288" s="326">
        <v>650</v>
      </c>
      <c r="D288" s="326">
        <v>700</v>
      </c>
      <c r="E288" s="326">
        <v>30</v>
      </c>
      <c r="F288" s="326">
        <v>0</v>
      </c>
      <c r="G288" s="330" t="s">
        <v>2607</v>
      </c>
      <c r="H288" s="330" t="s">
        <v>846</v>
      </c>
      <c r="I288" s="332"/>
      <c r="J288" s="332" t="s">
        <v>1530</v>
      </c>
      <c r="K288" s="334">
        <f t="shared" si="4"/>
        <v>0</v>
      </c>
      <c r="L288" s="334">
        <v>0</v>
      </c>
      <c r="M288" s="334"/>
      <c r="N288" s="334">
        <v>0</v>
      </c>
      <c r="O288" s="232"/>
      <c r="P288" s="232"/>
      <c r="Q288" s="232"/>
      <c r="R288" s="232"/>
      <c r="S288" s="232"/>
      <c r="T288" s="232"/>
    </row>
    <row r="289" spans="1:20" ht="25.5">
      <c r="A289" s="174">
        <v>305</v>
      </c>
      <c r="B289" s="326">
        <v>100</v>
      </c>
      <c r="C289" s="326">
        <v>650</v>
      </c>
      <c r="D289" s="326">
        <v>700</v>
      </c>
      <c r="E289" s="326">
        <v>35</v>
      </c>
      <c r="F289" s="326">
        <v>0</v>
      </c>
      <c r="G289" s="330" t="s">
        <v>2608</v>
      </c>
      <c r="H289" s="330" t="s">
        <v>847</v>
      </c>
      <c r="I289" s="332"/>
      <c r="J289" s="332" t="s">
        <v>1530</v>
      </c>
      <c r="K289" s="334">
        <f t="shared" si="4"/>
        <v>0</v>
      </c>
      <c r="L289" s="334">
        <v>0</v>
      </c>
      <c r="M289" s="334"/>
      <c r="N289" s="334">
        <v>0</v>
      </c>
      <c r="O289" s="232"/>
      <c r="P289" s="232"/>
      <c r="Q289" s="232"/>
      <c r="R289" s="232"/>
      <c r="S289" s="232"/>
      <c r="T289" s="232"/>
    </row>
    <row r="290" spans="1:20" ht="25.5">
      <c r="A290" s="174">
        <v>305</v>
      </c>
      <c r="B290" s="326">
        <v>100</v>
      </c>
      <c r="C290" s="326">
        <v>650</v>
      </c>
      <c r="D290" s="326">
        <v>700</v>
      </c>
      <c r="E290" s="326">
        <v>40</v>
      </c>
      <c r="F290" s="326">
        <v>0</v>
      </c>
      <c r="G290" s="330" t="s">
        <v>2609</v>
      </c>
      <c r="H290" s="330" t="s">
        <v>839</v>
      </c>
      <c r="I290" s="332"/>
      <c r="J290" s="332" t="s">
        <v>1530</v>
      </c>
      <c r="K290" s="334">
        <f t="shared" si="4"/>
        <v>0</v>
      </c>
      <c r="L290" s="334">
        <v>0</v>
      </c>
      <c r="M290" s="334"/>
      <c r="N290" s="334">
        <v>0</v>
      </c>
      <c r="O290" s="232"/>
      <c r="P290" s="232"/>
      <c r="Q290" s="232"/>
      <c r="R290" s="232"/>
      <c r="S290" s="232"/>
      <c r="T290" s="232"/>
    </row>
    <row r="291" spans="1:20" ht="25.5">
      <c r="A291" s="174">
        <v>305</v>
      </c>
      <c r="B291" s="326">
        <v>100</v>
      </c>
      <c r="C291" s="326">
        <v>650</v>
      </c>
      <c r="D291" s="326">
        <v>700</v>
      </c>
      <c r="E291" s="326">
        <v>90</v>
      </c>
      <c r="F291" s="326">
        <v>0</v>
      </c>
      <c r="G291" s="330" t="s">
        <v>2610</v>
      </c>
      <c r="H291" s="330" t="s">
        <v>836</v>
      </c>
      <c r="I291" s="332"/>
      <c r="J291" s="332" t="s">
        <v>1530</v>
      </c>
      <c r="K291" s="334">
        <f t="shared" si="4"/>
        <v>0</v>
      </c>
      <c r="L291" s="334">
        <v>0</v>
      </c>
      <c r="M291" s="334"/>
      <c r="N291" s="334">
        <v>0</v>
      </c>
      <c r="O291" s="232"/>
      <c r="P291" s="232"/>
      <c r="Q291" s="232"/>
      <c r="R291" s="232"/>
      <c r="S291" s="232"/>
      <c r="T291" s="232"/>
    </row>
    <row r="292" spans="1:20">
      <c r="A292" s="174">
        <v>305</v>
      </c>
      <c r="B292" s="326">
        <v>100</v>
      </c>
      <c r="C292" s="326">
        <v>700</v>
      </c>
      <c r="D292" s="326">
        <v>0</v>
      </c>
      <c r="E292" s="326">
        <v>0</v>
      </c>
      <c r="F292" s="326">
        <v>0</v>
      </c>
      <c r="G292" s="331" t="s">
        <v>2611</v>
      </c>
      <c r="H292" s="331" t="s">
        <v>852</v>
      </c>
      <c r="I292" s="326" t="s">
        <v>853</v>
      </c>
      <c r="J292" s="325"/>
      <c r="K292" s="335">
        <f t="shared" si="4"/>
        <v>0</v>
      </c>
      <c r="L292" s="335">
        <v>0</v>
      </c>
      <c r="M292" s="335"/>
      <c r="N292" s="335">
        <v>0</v>
      </c>
      <c r="O292" s="232"/>
      <c r="P292" s="232"/>
      <c r="Q292" s="232"/>
      <c r="R292" s="232"/>
      <c r="S292" s="232"/>
      <c r="T292" s="232"/>
    </row>
    <row r="293" spans="1:20">
      <c r="A293" s="174">
        <v>305</v>
      </c>
      <c r="B293" s="326">
        <v>100</v>
      </c>
      <c r="C293" s="326">
        <v>700</v>
      </c>
      <c r="D293" s="326">
        <v>100</v>
      </c>
      <c r="E293" s="326">
        <v>0</v>
      </c>
      <c r="F293" s="326">
        <v>0</v>
      </c>
      <c r="G293" s="330" t="s">
        <v>2612</v>
      </c>
      <c r="H293" s="330" t="s">
        <v>854</v>
      </c>
      <c r="I293" s="326" t="s">
        <v>855</v>
      </c>
      <c r="J293" s="326"/>
      <c r="K293" s="334">
        <f t="shared" si="4"/>
        <v>0</v>
      </c>
      <c r="L293" s="334">
        <v>0</v>
      </c>
      <c r="M293" s="334"/>
      <c r="N293" s="334">
        <v>0</v>
      </c>
      <c r="O293" s="232"/>
      <c r="P293" s="232"/>
      <c r="Q293" s="232"/>
      <c r="R293" s="232"/>
      <c r="S293" s="232"/>
      <c r="T293" s="232"/>
    </row>
    <row r="294" spans="1:20">
      <c r="A294" s="174">
        <v>305</v>
      </c>
      <c r="B294" s="326">
        <v>100</v>
      </c>
      <c r="C294" s="326">
        <v>700</v>
      </c>
      <c r="D294" s="326">
        <v>200</v>
      </c>
      <c r="E294" s="326">
        <v>0</v>
      </c>
      <c r="F294" s="326">
        <v>0</v>
      </c>
      <c r="G294" s="330" t="s">
        <v>2613</v>
      </c>
      <c r="H294" s="330" t="s">
        <v>856</v>
      </c>
      <c r="I294" s="326" t="s">
        <v>857</v>
      </c>
      <c r="J294" s="326"/>
      <c r="K294" s="334">
        <f t="shared" si="4"/>
        <v>0</v>
      </c>
      <c r="L294" s="334">
        <v>0</v>
      </c>
      <c r="M294" s="334"/>
      <c r="N294" s="334">
        <v>0</v>
      </c>
      <c r="O294" s="232"/>
      <c r="P294" s="232"/>
      <c r="Q294" s="232"/>
      <c r="R294" s="232"/>
      <c r="S294" s="232"/>
      <c r="T294" s="232"/>
    </row>
    <row r="295" spans="1:20" ht="25.5">
      <c r="A295" s="174">
        <v>305</v>
      </c>
      <c r="B295" s="326">
        <v>100</v>
      </c>
      <c r="C295" s="326">
        <v>700</v>
      </c>
      <c r="D295" s="326">
        <v>300</v>
      </c>
      <c r="E295" s="326">
        <v>0</v>
      </c>
      <c r="F295" s="326">
        <v>0</v>
      </c>
      <c r="G295" s="330" t="s">
        <v>2614</v>
      </c>
      <c r="H295" s="330" t="s">
        <v>858</v>
      </c>
      <c r="I295" s="326" t="s">
        <v>859</v>
      </c>
      <c r="J295" s="326"/>
      <c r="K295" s="334">
        <f t="shared" si="4"/>
        <v>0</v>
      </c>
      <c r="L295" s="334">
        <v>0</v>
      </c>
      <c r="M295" s="334"/>
      <c r="N295" s="334">
        <v>0</v>
      </c>
      <c r="O295" s="232"/>
      <c r="P295" s="232"/>
      <c r="Q295" s="232"/>
      <c r="R295" s="232"/>
      <c r="S295" s="232"/>
      <c r="T295" s="232"/>
    </row>
    <row r="296" spans="1:20">
      <c r="A296" s="174">
        <v>305</v>
      </c>
      <c r="B296" s="326">
        <v>100</v>
      </c>
      <c r="C296" s="326">
        <v>700</v>
      </c>
      <c r="D296" s="326">
        <v>400</v>
      </c>
      <c r="E296" s="326">
        <v>0</v>
      </c>
      <c r="F296" s="326">
        <v>0</v>
      </c>
      <c r="G296" s="330" t="s">
        <v>2615</v>
      </c>
      <c r="H296" s="330" t="s">
        <v>860</v>
      </c>
      <c r="I296" s="326" t="s">
        <v>861</v>
      </c>
      <c r="J296" s="326"/>
      <c r="K296" s="334">
        <f t="shared" si="4"/>
        <v>0</v>
      </c>
      <c r="L296" s="334">
        <v>0</v>
      </c>
      <c r="M296" s="334"/>
      <c r="N296" s="334">
        <v>0</v>
      </c>
      <c r="O296" s="232"/>
      <c r="P296" s="232"/>
      <c r="Q296" s="232"/>
      <c r="R296" s="232"/>
      <c r="S296" s="232"/>
      <c r="T296" s="232"/>
    </row>
    <row r="297" spans="1:20">
      <c r="A297" s="174">
        <v>305</v>
      </c>
      <c r="B297" s="326">
        <v>100</v>
      </c>
      <c r="C297" s="326">
        <v>700</v>
      </c>
      <c r="D297" s="326">
        <v>500</v>
      </c>
      <c r="E297" s="326">
        <v>0</v>
      </c>
      <c r="F297" s="326">
        <v>0</v>
      </c>
      <c r="G297" s="331" t="s">
        <v>2616</v>
      </c>
      <c r="H297" s="331" t="s">
        <v>862</v>
      </c>
      <c r="I297" s="326" t="s">
        <v>863</v>
      </c>
      <c r="J297" s="325"/>
      <c r="K297" s="335">
        <f t="shared" si="4"/>
        <v>0</v>
      </c>
      <c r="L297" s="335">
        <v>0</v>
      </c>
      <c r="M297" s="335"/>
      <c r="N297" s="335">
        <v>0</v>
      </c>
      <c r="O297" s="232"/>
      <c r="P297" s="232"/>
      <c r="Q297" s="232"/>
      <c r="R297" s="232"/>
      <c r="S297" s="232"/>
      <c r="T297" s="232"/>
    </row>
    <row r="298" spans="1:20">
      <c r="A298" s="174">
        <v>305</v>
      </c>
      <c r="B298" s="326">
        <v>100</v>
      </c>
      <c r="C298" s="326">
        <v>700</v>
      </c>
      <c r="D298" s="326">
        <v>500</v>
      </c>
      <c r="E298" s="326">
        <v>5</v>
      </c>
      <c r="F298" s="175">
        <v>0</v>
      </c>
      <c r="G298" s="330" t="s">
        <v>2617</v>
      </c>
      <c r="H298" s="330" t="s">
        <v>864</v>
      </c>
      <c r="I298" s="326"/>
      <c r="J298" s="326"/>
      <c r="K298" s="334">
        <f t="shared" si="4"/>
        <v>0</v>
      </c>
      <c r="L298" s="334">
        <v>0</v>
      </c>
      <c r="M298" s="334"/>
      <c r="N298" s="334">
        <v>0</v>
      </c>
      <c r="O298" s="232"/>
      <c r="P298" s="232"/>
      <c r="Q298" s="232"/>
      <c r="R298" s="232"/>
      <c r="S298" s="232"/>
      <c r="T298" s="232"/>
    </row>
    <row r="299" spans="1:20">
      <c r="A299" s="174">
        <v>305</v>
      </c>
      <c r="B299" s="326">
        <v>100</v>
      </c>
      <c r="C299" s="326">
        <v>700</v>
      </c>
      <c r="D299" s="326">
        <v>500</v>
      </c>
      <c r="E299" s="326">
        <v>10</v>
      </c>
      <c r="F299" s="175">
        <v>0</v>
      </c>
      <c r="G299" s="330" t="s">
        <v>2618</v>
      </c>
      <c r="H299" s="330" t="s">
        <v>865</v>
      </c>
      <c r="I299" s="326"/>
      <c r="J299" s="326"/>
      <c r="K299" s="334">
        <f t="shared" si="4"/>
        <v>0</v>
      </c>
      <c r="L299" s="334">
        <v>0</v>
      </c>
      <c r="M299" s="334"/>
      <c r="N299" s="334">
        <v>0</v>
      </c>
      <c r="O299" s="232"/>
      <c r="P299" s="232"/>
      <c r="Q299" s="232"/>
      <c r="R299" s="232"/>
      <c r="S299" s="232"/>
      <c r="T299" s="232"/>
    </row>
    <row r="300" spans="1:20">
      <c r="A300" s="174">
        <v>305</v>
      </c>
      <c r="B300" s="326">
        <v>100</v>
      </c>
      <c r="C300" s="326">
        <v>700</v>
      </c>
      <c r="D300" s="326">
        <v>500</v>
      </c>
      <c r="E300" s="326">
        <v>15</v>
      </c>
      <c r="F300" s="175">
        <v>0</v>
      </c>
      <c r="G300" s="330" t="s">
        <v>2619</v>
      </c>
      <c r="H300" s="330" t="s">
        <v>866</v>
      </c>
      <c r="I300" s="326"/>
      <c r="J300" s="326"/>
      <c r="K300" s="334">
        <f t="shared" si="4"/>
        <v>0</v>
      </c>
      <c r="L300" s="334">
        <v>0</v>
      </c>
      <c r="M300" s="334"/>
      <c r="N300" s="334">
        <v>0</v>
      </c>
      <c r="O300" s="232"/>
      <c r="P300" s="232"/>
      <c r="Q300" s="232"/>
      <c r="R300" s="232"/>
      <c r="S300" s="232"/>
      <c r="T300" s="232"/>
    </row>
    <row r="301" spans="1:20">
      <c r="A301" s="174">
        <v>305</v>
      </c>
      <c r="B301" s="326">
        <v>100</v>
      </c>
      <c r="C301" s="326">
        <v>700</v>
      </c>
      <c r="D301" s="326">
        <v>500</v>
      </c>
      <c r="E301" s="326">
        <v>20</v>
      </c>
      <c r="F301" s="326">
        <v>0</v>
      </c>
      <c r="G301" s="330" t="s">
        <v>2620</v>
      </c>
      <c r="H301" s="330" t="s">
        <v>867</v>
      </c>
      <c r="I301" s="326"/>
      <c r="J301" s="326"/>
      <c r="K301" s="334">
        <f t="shared" si="4"/>
        <v>0</v>
      </c>
      <c r="L301" s="334">
        <v>0</v>
      </c>
      <c r="M301" s="334"/>
      <c r="N301" s="334">
        <v>0</v>
      </c>
      <c r="O301" s="232"/>
      <c r="P301" s="232"/>
      <c r="Q301" s="232"/>
      <c r="R301" s="232"/>
      <c r="S301" s="232"/>
      <c r="T301" s="232"/>
    </row>
    <row r="302" spans="1:20">
      <c r="A302" s="174">
        <v>305</v>
      </c>
      <c r="B302" s="326">
        <v>100</v>
      </c>
      <c r="C302" s="326">
        <v>700</v>
      </c>
      <c r="D302" s="326">
        <v>500</v>
      </c>
      <c r="E302" s="326">
        <v>25</v>
      </c>
      <c r="F302" s="175">
        <v>0</v>
      </c>
      <c r="G302" s="330" t="s">
        <v>2621</v>
      </c>
      <c r="H302" s="330" t="s">
        <v>868</v>
      </c>
      <c r="I302" s="326"/>
      <c r="J302" s="326"/>
      <c r="K302" s="334">
        <f t="shared" si="4"/>
        <v>0</v>
      </c>
      <c r="L302" s="334">
        <v>0</v>
      </c>
      <c r="M302" s="334"/>
      <c r="N302" s="334">
        <v>0</v>
      </c>
      <c r="O302" s="232"/>
      <c r="P302" s="232"/>
      <c r="Q302" s="232"/>
      <c r="R302" s="232"/>
      <c r="S302" s="232"/>
      <c r="T302" s="232"/>
    </row>
    <row r="303" spans="1:20">
      <c r="A303" s="174">
        <v>305</v>
      </c>
      <c r="B303" s="326">
        <v>100</v>
      </c>
      <c r="C303" s="326">
        <v>700</v>
      </c>
      <c r="D303" s="326">
        <v>500</v>
      </c>
      <c r="E303" s="326">
        <v>30</v>
      </c>
      <c r="F303" s="175">
        <v>0</v>
      </c>
      <c r="G303" s="330" t="s">
        <v>2622</v>
      </c>
      <c r="H303" s="330" t="s">
        <v>869</v>
      </c>
      <c r="I303" s="326"/>
      <c r="J303" s="326"/>
      <c r="K303" s="334">
        <f t="shared" si="4"/>
        <v>0</v>
      </c>
      <c r="L303" s="334">
        <v>0</v>
      </c>
      <c r="M303" s="334"/>
      <c r="N303" s="334">
        <v>0</v>
      </c>
      <c r="O303" s="232"/>
      <c r="P303" s="232"/>
      <c r="Q303" s="232"/>
      <c r="R303" s="232"/>
      <c r="S303" s="232"/>
      <c r="T303" s="232"/>
    </row>
    <row r="304" spans="1:20">
      <c r="A304" s="174">
        <v>305</v>
      </c>
      <c r="B304" s="326">
        <v>100</v>
      </c>
      <c r="C304" s="326">
        <v>700</v>
      </c>
      <c r="D304" s="326">
        <v>500</v>
      </c>
      <c r="E304" s="326">
        <v>35</v>
      </c>
      <c r="F304" s="175">
        <v>0</v>
      </c>
      <c r="G304" s="330" t="s">
        <v>2623</v>
      </c>
      <c r="H304" s="330" t="s">
        <v>870</v>
      </c>
      <c r="I304" s="326"/>
      <c r="J304" s="326"/>
      <c r="K304" s="334">
        <f t="shared" si="4"/>
        <v>661071.61</v>
      </c>
      <c r="L304" s="334">
        <v>661071.61</v>
      </c>
      <c r="M304" s="334"/>
      <c r="N304" s="334">
        <v>1294179.8500000001</v>
      </c>
      <c r="O304" s="232"/>
      <c r="P304" s="232"/>
      <c r="Q304" s="232"/>
      <c r="R304" s="232"/>
      <c r="S304" s="232"/>
      <c r="T304" s="232"/>
    </row>
    <row r="305" spans="1:20">
      <c r="A305" s="174">
        <v>305</v>
      </c>
      <c r="B305" s="326">
        <v>100</v>
      </c>
      <c r="C305" s="326">
        <v>700</v>
      </c>
      <c r="D305" s="326">
        <v>500</v>
      </c>
      <c r="E305" s="326">
        <v>40</v>
      </c>
      <c r="F305" s="175">
        <v>0</v>
      </c>
      <c r="G305" s="330" t="s">
        <v>2624</v>
      </c>
      <c r="H305" s="330" t="s">
        <v>871</v>
      </c>
      <c r="I305" s="326"/>
      <c r="J305" s="326"/>
      <c r="K305" s="334">
        <f t="shared" si="4"/>
        <v>0</v>
      </c>
      <c r="L305" s="334">
        <v>0</v>
      </c>
      <c r="M305" s="334"/>
      <c r="N305" s="334">
        <v>0</v>
      </c>
      <c r="O305" s="232"/>
      <c r="P305" s="232"/>
      <c r="Q305" s="232"/>
      <c r="R305" s="232"/>
      <c r="S305" s="232"/>
      <c r="T305" s="232"/>
    </row>
    <row r="306" spans="1:20">
      <c r="A306" s="174">
        <v>305</v>
      </c>
      <c r="B306" s="326">
        <v>100</v>
      </c>
      <c r="C306" s="326">
        <v>700</v>
      </c>
      <c r="D306" s="326">
        <v>500</v>
      </c>
      <c r="E306" s="326">
        <v>45</v>
      </c>
      <c r="F306" s="175">
        <v>0</v>
      </c>
      <c r="G306" s="330" t="s">
        <v>2625</v>
      </c>
      <c r="H306" s="330" t="s">
        <v>872</v>
      </c>
      <c r="I306" s="326"/>
      <c r="J306" s="326"/>
      <c r="K306" s="334">
        <f t="shared" si="4"/>
        <v>0</v>
      </c>
      <c r="L306" s="334">
        <v>0</v>
      </c>
      <c r="M306" s="334"/>
      <c r="N306" s="334">
        <v>0</v>
      </c>
      <c r="O306" s="232"/>
      <c r="P306" s="232"/>
      <c r="Q306" s="232"/>
      <c r="R306" s="232"/>
      <c r="S306" s="232"/>
      <c r="T306" s="232"/>
    </row>
    <row r="307" spans="1:20">
      <c r="A307" s="174">
        <v>305</v>
      </c>
      <c r="B307" s="326">
        <v>100</v>
      </c>
      <c r="C307" s="326">
        <v>700</v>
      </c>
      <c r="D307" s="326">
        <v>500</v>
      </c>
      <c r="E307" s="326">
        <v>90</v>
      </c>
      <c r="F307" s="326">
        <v>0</v>
      </c>
      <c r="G307" s="330" t="s">
        <v>2626</v>
      </c>
      <c r="H307" s="330" t="s">
        <v>862</v>
      </c>
      <c r="I307" s="326"/>
      <c r="J307" s="326"/>
      <c r="K307" s="334">
        <f t="shared" si="4"/>
        <v>35731.25</v>
      </c>
      <c r="L307" s="334">
        <v>35731.25</v>
      </c>
      <c r="M307" s="334"/>
      <c r="N307" s="334">
        <v>31865</v>
      </c>
      <c r="O307" s="232"/>
      <c r="P307" s="232"/>
      <c r="Q307" s="232"/>
      <c r="R307" s="232"/>
      <c r="S307" s="232"/>
      <c r="T307" s="232"/>
    </row>
    <row r="308" spans="1:20" ht="25.5">
      <c r="A308" s="174">
        <v>305</v>
      </c>
      <c r="B308" s="326">
        <v>100</v>
      </c>
      <c r="C308" s="326">
        <v>700</v>
      </c>
      <c r="D308" s="326">
        <v>600</v>
      </c>
      <c r="E308" s="326">
        <v>0</v>
      </c>
      <c r="F308" s="326">
        <v>0</v>
      </c>
      <c r="G308" s="331" t="s">
        <v>2627</v>
      </c>
      <c r="H308" s="331" t="s">
        <v>873</v>
      </c>
      <c r="I308" s="326" t="s">
        <v>874</v>
      </c>
      <c r="J308" s="325" t="s">
        <v>1530</v>
      </c>
      <c r="K308" s="342">
        <f t="shared" si="4"/>
        <v>0</v>
      </c>
      <c r="L308" s="342">
        <v>0</v>
      </c>
      <c r="M308" s="342"/>
      <c r="N308" s="342">
        <v>0</v>
      </c>
      <c r="O308" s="232"/>
      <c r="P308" s="232"/>
      <c r="Q308" s="232"/>
      <c r="R308" s="232"/>
      <c r="S308" s="232"/>
      <c r="T308" s="232"/>
    </row>
    <row r="309" spans="1:20" ht="25.5">
      <c r="A309" s="174">
        <v>305</v>
      </c>
      <c r="B309" s="326">
        <v>100</v>
      </c>
      <c r="C309" s="326">
        <v>700</v>
      </c>
      <c r="D309" s="326">
        <v>600</v>
      </c>
      <c r="E309" s="326">
        <v>10</v>
      </c>
      <c r="F309" s="326">
        <v>0</v>
      </c>
      <c r="G309" s="330" t="s">
        <v>2628</v>
      </c>
      <c r="H309" s="330" t="s">
        <v>875</v>
      </c>
      <c r="I309" s="332"/>
      <c r="J309" s="332" t="s">
        <v>1530</v>
      </c>
      <c r="K309" s="334">
        <f t="shared" si="4"/>
        <v>0</v>
      </c>
      <c r="L309" s="334">
        <v>0</v>
      </c>
      <c r="M309" s="334"/>
      <c r="N309" s="334">
        <v>0</v>
      </c>
      <c r="O309" s="232"/>
      <c r="P309" s="232"/>
      <c r="Q309" s="232"/>
      <c r="R309" s="232"/>
      <c r="S309" s="232"/>
      <c r="T309" s="232"/>
    </row>
    <row r="310" spans="1:20" ht="25.5">
      <c r="A310" s="174">
        <v>305</v>
      </c>
      <c r="B310" s="326">
        <v>100</v>
      </c>
      <c r="C310" s="326">
        <v>700</v>
      </c>
      <c r="D310" s="326">
        <v>600</v>
      </c>
      <c r="E310" s="326">
        <v>90</v>
      </c>
      <c r="F310" s="326">
        <v>0</v>
      </c>
      <c r="G310" s="330" t="s">
        <v>2629</v>
      </c>
      <c r="H310" s="330" t="s">
        <v>876</v>
      </c>
      <c r="I310" s="332"/>
      <c r="J310" s="332" t="s">
        <v>1530</v>
      </c>
      <c r="K310" s="334">
        <f t="shared" si="4"/>
        <v>1681337</v>
      </c>
      <c r="L310" s="334">
        <v>1681337</v>
      </c>
      <c r="M310" s="334"/>
      <c r="N310" s="334">
        <v>1610932.46</v>
      </c>
      <c r="O310" s="232"/>
      <c r="P310" s="232"/>
      <c r="Q310" s="232"/>
      <c r="R310" s="232"/>
      <c r="S310" s="232"/>
      <c r="T310" s="232"/>
    </row>
    <row r="311" spans="1:20">
      <c r="A311" s="174">
        <v>305</v>
      </c>
      <c r="B311" s="326">
        <v>100</v>
      </c>
      <c r="C311" s="326">
        <v>700</v>
      </c>
      <c r="D311" s="326">
        <v>700</v>
      </c>
      <c r="E311" s="326">
        <v>0</v>
      </c>
      <c r="F311" s="326">
        <v>0</v>
      </c>
      <c r="G311" s="330" t="s">
        <v>2630</v>
      </c>
      <c r="H311" s="330" t="s">
        <v>877</v>
      </c>
      <c r="I311" s="332" t="s">
        <v>878</v>
      </c>
      <c r="J311" s="333" t="s">
        <v>1530</v>
      </c>
      <c r="K311" s="336">
        <f t="shared" si="4"/>
        <v>0</v>
      </c>
      <c r="L311" s="336">
        <v>0</v>
      </c>
      <c r="M311" s="336"/>
      <c r="N311" s="336">
        <v>0</v>
      </c>
      <c r="O311" s="232"/>
      <c r="P311" s="232"/>
      <c r="Q311" s="232"/>
      <c r="R311" s="232"/>
      <c r="S311" s="232"/>
      <c r="T311" s="232"/>
    </row>
    <row r="312" spans="1:20" ht="25.5">
      <c r="A312" s="174">
        <v>305</v>
      </c>
      <c r="B312" s="326">
        <v>100</v>
      </c>
      <c r="C312" s="326">
        <v>750</v>
      </c>
      <c r="D312" s="326">
        <v>0</v>
      </c>
      <c r="E312" s="326">
        <v>0</v>
      </c>
      <c r="F312" s="326">
        <v>0</v>
      </c>
      <c r="G312" s="331" t="s">
        <v>2631</v>
      </c>
      <c r="H312" s="331" t="s">
        <v>879</v>
      </c>
      <c r="I312" s="332" t="s">
        <v>880</v>
      </c>
      <c r="J312" s="333"/>
      <c r="K312" s="335">
        <f t="shared" si="4"/>
        <v>0</v>
      </c>
      <c r="L312" s="335">
        <v>0</v>
      </c>
      <c r="M312" s="335"/>
      <c r="N312" s="335">
        <v>0</v>
      </c>
      <c r="O312" s="232"/>
      <c r="P312" s="232"/>
      <c r="Q312" s="232"/>
      <c r="R312" s="232"/>
      <c r="S312" s="232"/>
      <c r="T312" s="232"/>
    </row>
    <row r="313" spans="1:20" ht="25.5">
      <c r="A313" s="174">
        <v>305</v>
      </c>
      <c r="B313" s="326">
        <v>100</v>
      </c>
      <c r="C313" s="326">
        <v>750</v>
      </c>
      <c r="D313" s="326">
        <v>100</v>
      </c>
      <c r="E313" s="326">
        <v>0</v>
      </c>
      <c r="F313" s="326">
        <v>0</v>
      </c>
      <c r="G313" s="330" t="s">
        <v>2632</v>
      </c>
      <c r="H313" s="330" t="s">
        <v>881</v>
      </c>
      <c r="I313" s="332" t="s">
        <v>882</v>
      </c>
      <c r="J313" s="332" t="s">
        <v>1530</v>
      </c>
      <c r="K313" s="334">
        <f t="shared" si="4"/>
        <v>74602.880000000005</v>
      </c>
      <c r="L313" s="334">
        <v>74602.880000000005</v>
      </c>
      <c r="M313" s="334"/>
      <c r="N313" s="334">
        <v>130103.06</v>
      </c>
      <c r="O313" s="232"/>
      <c r="P313" s="232"/>
      <c r="Q313" s="232"/>
      <c r="R313" s="232"/>
      <c r="S313" s="232"/>
      <c r="T313" s="232"/>
    </row>
    <row r="314" spans="1:20" ht="25.5">
      <c r="A314" s="174">
        <v>305</v>
      </c>
      <c r="B314" s="326">
        <v>100</v>
      </c>
      <c r="C314" s="326">
        <v>750</v>
      </c>
      <c r="D314" s="326">
        <v>200</v>
      </c>
      <c r="E314" s="326">
        <v>0</v>
      </c>
      <c r="F314" s="326">
        <v>0</v>
      </c>
      <c r="G314" s="330" t="s">
        <v>2633</v>
      </c>
      <c r="H314" s="330" t="s">
        <v>883</v>
      </c>
      <c r="I314" s="326" t="s">
        <v>884</v>
      </c>
      <c r="J314" s="326"/>
      <c r="K314" s="334">
        <f t="shared" si="4"/>
        <v>5201.5</v>
      </c>
      <c r="L314" s="334">
        <v>5201.5</v>
      </c>
      <c r="M314" s="334"/>
      <c r="N314" s="334">
        <v>1725.86</v>
      </c>
      <c r="O314" s="232"/>
      <c r="P314" s="232"/>
      <c r="Q314" s="232"/>
      <c r="R314" s="232"/>
      <c r="S314" s="232"/>
      <c r="T314" s="232"/>
    </row>
    <row r="315" spans="1:20" ht="25.5">
      <c r="A315" s="174">
        <v>305</v>
      </c>
      <c r="B315" s="326">
        <v>100</v>
      </c>
      <c r="C315" s="326">
        <v>750</v>
      </c>
      <c r="D315" s="326">
        <v>300</v>
      </c>
      <c r="E315" s="326">
        <v>0</v>
      </c>
      <c r="F315" s="326">
        <v>0</v>
      </c>
      <c r="G315" s="331" t="s">
        <v>2634</v>
      </c>
      <c r="H315" s="331" t="s">
        <v>885</v>
      </c>
      <c r="I315" s="326" t="s">
        <v>886</v>
      </c>
      <c r="J315" s="325"/>
      <c r="K315" s="335">
        <f t="shared" si="4"/>
        <v>0</v>
      </c>
      <c r="L315" s="335">
        <v>0</v>
      </c>
      <c r="M315" s="335"/>
      <c r="N315" s="335">
        <v>0</v>
      </c>
      <c r="O315" s="232"/>
      <c r="P315" s="232"/>
      <c r="Q315" s="232"/>
      <c r="R315" s="232"/>
      <c r="S315" s="232"/>
      <c r="T315" s="232"/>
    </row>
    <row r="316" spans="1:20" ht="25.5">
      <c r="A316" s="174">
        <v>305</v>
      </c>
      <c r="B316" s="326">
        <v>100</v>
      </c>
      <c r="C316" s="326">
        <v>750</v>
      </c>
      <c r="D316" s="326">
        <v>300</v>
      </c>
      <c r="E316" s="326">
        <v>10</v>
      </c>
      <c r="F316" s="326">
        <v>0</v>
      </c>
      <c r="G316" s="330" t="s">
        <v>2635</v>
      </c>
      <c r="H316" s="330" t="s">
        <v>887</v>
      </c>
      <c r="I316" s="326" t="s">
        <v>888</v>
      </c>
      <c r="J316" s="326"/>
      <c r="K316" s="334">
        <f t="shared" si="4"/>
        <v>174418.13</v>
      </c>
      <c r="L316" s="334">
        <v>174418.13</v>
      </c>
      <c r="M316" s="334"/>
      <c r="N316" s="334">
        <v>49134.67</v>
      </c>
      <c r="O316" s="232"/>
      <c r="P316" s="232"/>
      <c r="Q316" s="232"/>
      <c r="R316" s="232"/>
      <c r="S316" s="232"/>
      <c r="T316" s="232"/>
    </row>
    <row r="317" spans="1:20">
      <c r="A317" s="174">
        <v>305</v>
      </c>
      <c r="B317" s="326">
        <v>100</v>
      </c>
      <c r="C317" s="326">
        <v>750</v>
      </c>
      <c r="D317" s="326">
        <v>300</v>
      </c>
      <c r="E317" s="326">
        <v>20</v>
      </c>
      <c r="F317" s="326">
        <v>0</v>
      </c>
      <c r="G317" s="331" t="s">
        <v>2636</v>
      </c>
      <c r="H317" s="331" t="s">
        <v>889</v>
      </c>
      <c r="I317" s="326" t="s">
        <v>890</v>
      </c>
      <c r="J317" s="325"/>
      <c r="K317" s="335">
        <f t="shared" si="4"/>
        <v>0</v>
      </c>
      <c r="L317" s="335">
        <v>0</v>
      </c>
      <c r="M317" s="335"/>
      <c r="N317" s="335">
        <v>0</v>
      </c>
      <c r="O317" s="232"/>
      <c r="P317" s="232"/>
      <c r="Q317" s="232"/>
      <c r="R317" s="232"/>
      <c r="S317" s="232"/>
      <c r="T317" s="232"/>
    </row>
    <row r="318" spans="1:20" ht="25.5">
      <c r="A318" s="174">
        <v>305</v>
      </c>
      <c r="B318" s="326">
        <v>100</v>
      </c>
      <c r="C318" s="326">
        <v>750</v>
      </c>
      <c r="D318" s="326">
        <v>300</v>
      </c>
      <c r="E318" s="326">
        <v>20</v>
      </c>
      <c r="F318" s="326">
        <v>5</v>
      </c>
      <c r="G318" s="330" t="s">
        <v>2637</v>
      </c>
      <c r="H318" s="330" t="s">
        <v>891</v>
      </c>
      <c r="I318" s="326"/>
      <c r="J318" s="326"/>
      <c r="K318" s="334">
        <f t="shared" si="4"/>
        <v>67745</v>
      </c>
      <c r="L318" s="334">
        <v>67745</v>
      </c>
      <c r="M318" s="334"/>
      <c r="N318" s="334">
        <v>30902.51</v>
      </c>
      <c r="O318" s="232"/>
      <c r="P318" s="232"/>
      <c r="Q318" s="232"/>
      <c r="R318" s="232"/>
      <c r="S318" s="232"/>
      <c r="T318" s="232"/>
    </row>
    <row r="319" spans="1:20">
      <c r="A319" s="174">
        <v>305</v>
      </c>
      <c r="B319" s="326">
        <v>100</v>
      </c>
      <c r="C319" s="326">
        <v>750</v>
      </c>
      <c r="D319" s="326">
        <v>300</v>
      </c>
      <c r="E319" s="326">
        <v>20</v>
      </c>
      <c r="F319" s="326">
        <v>10</v>
      </c>
      <c r="G319" s="330" t="s">
        <v>2638</v>
      </c>
      <c r="H319" s="330" t="s">
        <v>892</v>
      </c>
      <c r="I319" s="326"/>
      <c r="J319" s="326"/>
      <c r="K319" s="334">
        <f t="shared" si="4"/>
        <v>0</v>
      </c>
      <c r="L319" s="334">
        <v>0</v>
      </c>
      <c r="M319" s="334"/>
      <c r="N319" s="334">
        <v>0</v>
      </c>
      <c r="O319" s="232"/>
      <c r="P319" s="232"/>
      <c r="Q319" s="232"/>
      <c r="R319" s="232"/>
      <c r="S319" s="232"/>
      <c r="T319" s="232"/>
    </row>
    <row r="320" spans="1:20" ht="25.5">
      <c r="A320" s="174">
        <v>305</v>
      </c>
      <c r="B320" s="326">
        <v>100</v>
      </c>
      <c r="C320" s="326">
        <v>750</v>
      </c>
      <c r="D320" s="326">
        <v>300</v>
      </c>
      <c r="E320" s="326">
        <v>20</v>
      </c>
      <c r="F320" s="326">
        <v>15</v>
      </c>
      <c r="G320" s="330" t="s">
        <v>2639</v>
      </c>
      <c r="H320" s="330" t="s">
        <v>893</v>
      </c>
      <c r="I320" s="326"/>
      <c r="J320" s="326"/>
      <c r="K320" s="334">
        <f t="shared" si="4"/>
        <v>0</v>
      </c>
      <c r="L320" s="334">
        <v>0</v>
      </c>
      <c r="M320" s="334"/>
      <c r="N320" s="334">
        <v>0</v>
      </c>
      <c r="O320" s="232"/>
      <c r="P320" s="232"/>
      <c r="Q320" s="232"/>
      <c r="R320" s="232"/>
      <c r="S320" s="232"/>
      <c r="T320" s="232"/>
    </row>
    <row r="321" spans="1:20" ht="25.5">
      <c r="A321" s="174">
        <v>305</v>
      </c>
      <c r="B321" s="326">
        <v>100</v>
      </c>
      <c r="C321" s="326">
        <v>750</v>
      </c>
      <c r="D321" s="326">
        <v>300</v>
      </c>
      <c r="E321" s="326">
        <v>30</v>
      </c>
      <c r="F321" s="326">
        <v>0</v>
      </c>
      <c r="G321" s="331" t="s">
        <v>2640</v>
      </c>
      <c r="H321" s="331" t="s">
        <v>894</v>
      </c>
      <c r="I321" s="326" t="s">
        <v>895</v>
      </c>
      <c r="J321" s="325"/>
      <c r="K321" s="335">
        <f t="shared" si="4"/>
        <v>0</v>
      </c>
      <c r="L321" s="335">
        <v>0</v>
      </c>
      <c r="M321" s="335"/>
      <c r="N321" s="335">
        <v>0</v>
      </c>
      <c r="O321" s="232"/>
      <c r="P321" s="232"/>
      <c r="Q321" s="232"/>
      <c r="R321" s="232"/>
      <c r="S321" s="232"/>
      <c r="T321" s="232"/>
    </row>
    <row r="322" spans="1:20" ht="25.5">
      <c r="A322" s="174">
        <v>305</v>
      </c>
      <c r="B322" s="326">
        <v>100</v>
      </c>
      <c r="C322" s="326">
        <v>750</v>
      </c>
      <c r="D322" s="326">
        <v>300</v>
      </c>
      <c r="E322" s="326">
        <v>30</v>
      </c>
      <c r="F322" s="326">
        <v>5</v>
      </c>
      <c r="G322" s="330" t="s">
        <v>2641</v>
      </c>
      <c r="H322" s="330" t="s">
        <v>896</v>
      </c>
      <c r="I322" s="326"/>
      <c r="J322" s="326"/>
      <c r="K322" s="334">
        <f t="shared" si="4"/>
        <v>194606.66</v>
      </c>
      <c r="L322" s="334">
        <v>194606.66</v>
      </c>
      <c r="M322" s="334"/>
      <c r="N322" s="334">
        <v>62976.74</v>
      </c>
      <c r="O322" s="232"/>
      <c r="P322" s="232"/>
      <c r="Q322" s="232"/>
      <c r="R322" s="232"/>
      <c r="S322" s="232"/>
      <c r="T322" s="232"/>
    </row>
    <row r="323" spans="1:20">
      <c r="A323" s="174">
        <v>305</v>
      </c>
      <c r="B323" s="326">
        <v>100</v>
      </c>
      <c r="C323" s="326">
        <v>750</v>
      </c>
      <c r="D323" s="326">
        <v>300</v>
      </c>
      <c r="E323" s="326">
        <v>30</v>
      </c>
      <c r="F323" s="326">
        <v>10</v>
      </c>
      <c r="G323" s="330" t="s">
        <v>2642</v>
      </c>
      <c r="H323" s="330" t="s">
        <v>897</v>
      </c>
      <c r="I323" s="326"/>
      <c r="J323" s="326"/>
      <c r="K323" s="334">
        <f t="shared" si="4"/>
        <v>0</v>
      </c>
      <c r="L323" s="334">
        <v>0</v>
      </c>
      <c r="M323" s="334"/>
      <c r="N323" s="334">
        <v>84829.25</v>
      </c>
      <c r="O323" s="232"/>
      <c r="P323" s="232"/>
      <c r="Q323" s="232"/>
      <c r="R323" s="232"/>
      <c r="S323" s="232"/>
      <c r="T323" s="232"/>
    </row>
    <row r="324" spans="1:20">
      <c r="A324" s="174">
        <v>305</v>
      </c>
      <c r="B324" s="326">
        <v>100</v>
      </c>
      <c r="C324" s="326">
        <v>750</v>
      </c>
      <c r="D324" s="326">
        <v>300</v>
      </c>
      <c r="E324" s="326">
        <v>30</v>
      </c>
      <c r="F324" s="326">
        <v>15</v>
      </c>
      <c r="G324" s="330" t="s">
        <v>2643</v>
      </c>
      <c r="H324" s="330" t="s">
        <v>898</v>
      </c>
      <c r="I324" s="326"/>
      <c r="J324" s="326"/>
      <c r="K324" s="334">
        <f t="shared" si="4"/>
        <v>0</v>
      </c>
      <c r="L324" s="334">
        <v>0</v>
      </c>
      <c r="M324" s="334"/>
      <c r="N324" s="334">
        <v>0</v>
      </c>
      <c r="O324" s="232"/>
      <c r="P324" s="232"/>
      <c r="Q324" s="232"/>
      <c r="R324" s="232"/>
      <c r="S324" s="232"/>
      <c r="T324" s="232"/>
    </row>
    <row r="325" spans="1:20">
      <c r="A325" s="174">
        <v>305</v>
      </c>
      <c r="B325" s="326">
        <v>100</v>
      </c>
      <c r="C325" s="326">
        <v>750</v>
      </c>
      <c r="D325" s="326">
        <v>300</v>
      </c>
      <c r="E325" s="326">
        <v>30</v>
      </c>
      <c r="F325" s="326">
        <v>20</v>
      </c>
      <c r="G325" s="330" t="s">
        <v>2644</v>
      </c>
      <c r="H325" s="330" t="s">
        <v>899</v>
      </c>
      <c r="I325" s="326"/>
      <c r="J325" s="326"/>
      <c r="K325" s="334">
        <f t="shared" si="4"/>
        <v>36315.78</v>
      </c>
      <c r="L325" s="334">
        <v>36315.78</v>
      </c>
      <c r="M325" s="334"/>
      <c r="N325" s="334">
        <v>26408.2</v>
      </c>
      <c r="O325" s="232"/>
      <c r="P325" s="232"/>
      <c r="Q325" s="232"/>
      <c r="R325" s="232"/>
      <c r="S325" s="232"/>
      <c r="T325" s="232"/>
    </row>
    <row r="326" spans="1:20">
      <c r="A326" s="174">
        <v>305</v>
      </c>
      <c r="B326" s="326">
        <v>100</v>
      </c>
      <c r="C326" s="326">
        <v>750</v>
      </c>
      <c r="D326" s="326">
        <v>300</v>
      </c>
      <c r="E326" s="326">
        <v>40</v>
      </c>
      <c r="F326" s="326">
        <v>0</v>
      </c>
      <c r="G326" s="331" t="s">
        <v>2645</v>
      </c>
      <c r="H326" s="331" t="s">
        <v>900</v>
      </c>
      <c r="I326" s="326" t="s">
        <v>901</v>
      </c>
      <c r="J326" s="325"/>
      <c r="K326" s="335">
        <f t="shared" si="4"/>
        <v>0</v>
      </c>
      <c r="L326" s="335">
        <v>0</v>
      </c>
      <c r="M326" s="335"/>
      <c r="N326" s="335">
        <v>0</v>
      </c>
      <c r="O326" s="232"/>
      <c r="P326" s="232"/>
      <c r="Q326" s="232"/>
      <c r="R326" s="232"/>
      <c r="S326" s="232"/>
      <c r="T326" s="232"/>
    </row>
    <row r="327" spans="1:20">
      <c r="A327" s="174">
        <v>305</v>
      </c>
      <c r="B327" s="326">
        <v>100</v>
      </c>
      <c r="C327" s="326">
        <v>750</v>
      </c>
      <c r="D327" s="326">
        <v>300</v>
      </c>
      <c r="E327" s="326">
        <v>40</v>
      </c>
      <c r="F327" s="326">
        <v>5</v>
      </c>
      <c r="G327" s="330" t="s">
        <v>2646</v>
      </c>
      <c r="H327" s="330" t="s">
        <v>902</v>
      </c>
      <c r="I327" s="326"/>
      <c r="J327" s="326"/>
      <c r="K327" s="334">
        <f t="shared" ref="K327:K390" si="5">+L327+M327</f>
        <v>640243.54</v>
      </c>
      <c r="L327" s="334">
        <v>640243.54</v>
      </c>
      <c r="M327" s="334"/>
      <c r="N327" s="334">
        <v>521982.05</v>
      </c>
      <c r="O327" s="232"/>
      <c r="P327" s="232"/>
      <c r="Q327" s="232"/>
      <c r="R327" s="232"/>
      <c r="S327" s="232"/>
      <c r="T327" s="232"/>
    </row>
    <row r="328" spans="1:20">
      <c r="A328" s="174">
        <v>305</v>
      </c>
      <c r="B328" s="326">
        <v>100</v>
      </c>
      <c r="C328" s="326">
        <v>750</v>
      </c>
      <c r="D328" s="326">
        <v>300</v>
      </c>
      <c r="E328" s="326">
        <v>40</v>
      </c>
      <c r="F328" s="326">
        <v>10</v>
      </c>
      <c r="G328" s="330" t="s">
        <v>2647</v>
      </c>
      <c r="H328" s="330" t="s">
        <v>634</v>
      </c>
      <c r="I328" s="338"/>
      <c r="J328" s="338"/>
      <c r="K328" s="334">
        <f t="shared" si="5"/>
        <v>258222.1</v>
      </c>
      <c r="L328" s="334">
        <v>258222.1</v>
      </c>
      <c r="M328" s="334"/>
      <c r="N328" s="334">
        <v>213481.95</v>
      </c>
      <c r="O328" s="232"/>
      <c r="P328" s="232"/>
      <c r="Q328" s="232"/>
      <c r="R328" s="232"/>
      <c r="S328" s="232"/>
      <c r="T328" s="232"/>
    </row>
    <row r="329" spans="1:20" ht="25.5">
      <c r="A329" s="174">
        <v>305</v>
      </c>
      <c r="B329" s="326">
        <v>100</v>
      </c>
      <c r="C329" s="326">
        <v>750</v>
      </c>
      <c r="D329" s="326">
        <v>300</v>
      </c>
      <c r="E329" s="326">
        <v>40</v>
      </c>
      <c r="F329" s="326">
        <v>15</v>
      </c>
      <c r="G329" s="330" t="s">
        <v>2253</v>
      </c>
      <c r="H329" s="330" t="s">
        <v>2254</v>
      </c>
      <c r="I329" s="326"/>
      <c r="J329" s="326"/>
      <c r="K329" s="334">
        <f t="shared" si="5"/>
        <v>0</v>
      </c>
      <c r="L329" s="334">
        <v>0</v>
      </c>
      <c r="M329" s="334"/>
      <c r="N329" s="334">
        <v>0</v>
      </c>
      <c r="O329" s="232"/>
      <c r="P329" s="232"/>
      <c r="Q329" s="232"/>
      <c r="R329" s="232"/>
      <c r="S329" s="232"/>
      <c r="T329" s="232"/>
    </row>
    <row r="330" spans="1:20">
      <c r="A330" s="174">
        <v>305</v>
      </c>
      <c r="B330" s="326">
        <v>100</v>
      </c>
      <c r="C330" s="326">
        <v>750</v>
      </c>
      <c r="D330" s="326">
        <v>300</v>
      </c>
      <c r="E330" s="326">
        <v>40</v>
      </c>
      <c r="F330" s="326">
        <v>20</v>
      </c>
      <c r="G330" s="330" t="s">
        <v>2255</v>
      </c>
      <c r="H330" s="330" t="s">
        <v>1111</v>
      </c>
      <c r="I330" s="326"/>
      <c r="J330" s="326"/>
      <c r="K330" s="334">
        <f t="shared" si="5"/>
        <v>0</v>
      </c>
      <c r="L330" s="334">
        <v>0</v>
      </c>
      <c r="M330" s="334"/>
      <c r="N330" s="334">
        <v>0</v>
      </c>
      <c r="O330" s="232"/>
      <c r="P330" s="232"/>
      <c r="Q330" s="232"/>
      <c r="R330" s="232"/>
      <c r="S330" s="232"/>
      <c r="T330" s="232"/>
    </row>
    <row r="331" spans="1:20">
      <c r="A331" s="174">
        <v>305</v>
      </c>
      <c r="B331" s="326">
        <v>100</v>
      </c>
      <c r="C331" s="326">
        <v>750</v>
      </c>
      <c r="D331" s="326">
        <v>300</v>
      </c>
      <c r="E331" s="326">
        <v>40</v>
      </c>
      <c r="F331" s="326">
        <v>25</v>
      </c>
      <c r="G331" s="330" t="s">
        <v>2256</v>
      </c>
      <c r="H331" s="330" t="s">
        <v>1111</v>
      </c>
      <c r="I331" s="326"/>
      <c r="J331" s="326"/>
      <c r="K331" s="334">
        <f t="shared" si="5"/>
        <v>0</v>
      </c>
      <c r="L331" s="334">
        <v>0</v>
      </c>
      <c r="M331" s="334"/>
      <c r="N331" s="334">
        <v>1480</v>
      </c>
      <c r="O331" s="232"/>
      <c r="P331" s="232"/>
      <c r="Q331" s="232"/>
      <c r="R331" s="232"/>
      <c r="S331" s="232"/>
      <c r="T331" s="232"/>
    </row>
    <row r="332" spans="1:20" ht="25.5">
      <c r="A332" s="174">
        <v>305</v>
      </c>
      <c r="B332" s="326">
        <v>100</v>
      </c>
      <c r="C332" s="326">
        <v>750</v>
      </c>
      <c r="D332" s="326">
        <v>300</v>
      </c>
      <c r="E332" s="326">
        <v>40</v>
      </c>
      <c r="F332" s="326">
        <v>30</v>
      </c>
      <c r="G332" s="330" t="s">
        <v>2257</v>
      </c>
      <c r="H332" s="330" t="s">
        <v>1114</v>
      </c>
      <c r="I332" s="326"/>
      <c r="J332" s="326"/>
      <c r="K332" s="334">
        <f t="shared" si="5"/>
        <v>0</v>
      </c>
      <c r="L332" s="334">
        <v>0</v>
      </c>
      <c r="M332" s="334"/>
      <c r="N332" s="334">
        <v>0</v>
      </c>
      <c r="O332" s="232"/>
      <c r="P332" s="232"/>
      <c r="Q332" s="232"/>
      <c r="R332" s="232"/>
      <c r="S332" s="232"/>
      <c r="T332" s="232"/>
    </row>
    <row r="333" spans="1:20" ht="25.5">
      <c r="A333" s="174">
        <v>305</v>
      </c>
      <c r="B333" s="326">
        <v>100</v>
      </c>
      <c r="C333" s="326">
        <v>750</v>
      </c>
      <c r="D333" s="326">
        <v>300</v>
      </c>
      <c r="E333" s="326">
        <v>40</v>
      </c>
      <c r="F333" s="326">
        <v>35</v>
      </c>
      <c r="G333" s="330" t="s">
        <v>2258</v>
      </c>
      <c r="H333" s="330" t="s">
        <v>1114</v>
      </c>
      <c r="I333" s="326"/>
      <c r="J333" s="326"/>
      <c r="K333" s="334">
        <f t="shared" si="5"/>
        <v>0</v>
      </c>
      <c r="L333" s="334">
        <v>0</v>
      </c>
      <c r="M333" s="334"/>
      <c r="N333" s="334">
        <v>0</v>
      </c>
      <c r="O333" s="232"/>
      <c r="P333" s="232"/>
      <c r="Q333" s="232"/>
      <c r="R333" s="232"/>
      <c r="S333" s="232"/>
      <c r="T333" s="232"/>
    </row>
    <row r="334" spans="1:20">
      <c r="A334" s="174">
        <v>305</v>
      </c>
      <c r="B334" s="326">
        <v>100</v>
      </c>
      <c r="C334" s="326">
        <v>750</v>
      </c>
      <c r="D334" s="326">
        <v>300</v>
      </c>
      <c r="E334" s="326">
        <v>40</v>
      </c>
      <c r="F334" s="326">
        <v>40</v>
      </c>
      <c r="G334" s="330" t="s">
        <v>2259</v>
      </c>
      <c r="H334" s="330" t="s">
        <v>1119</v>
      </c>
      <c r="I334" s="326"/>
      <c r="J334" s="326"/>
      <c r="K334" s="334">
        <f t="shared" si="5"/>
        <v>0</v>
      </c>
      <c r="L334" s="334">
        <v>0</v>
      </c>
      <c r="M334" s="334"/>
      <c r="N334" s="334">
        <v>0</v>
      </c>
      <c r="O334" s="232"/>
      <c r="P334" s="232"/>
      <c r="Q334" s="232"/>
      <c r="R334" s="232"/>
      <c r="S334" s="232"/>
      <c r="T334" s="232"/>
    </row>
    <row r="335" spans="1:20">
      <c r="A335" s="174">
        <v>305</v>
      </c>
      <c r="B335" s="326">
        <v>100</v>
      </c>
      <c r="C335" s="326">
        <v>750</v>
      </c>
      <c r="D335" s="326">
        <v>300</v>
      </c>
      <c r="E335" s="326">
        <v>40</v>
      </c>
      <c r="F335" s="326">
        <v>45</v>
      </c>
      <c r="G335" s="330" t="s">
        <v>2260</v>
      </c>
      <c r="H335" s="330" t="s">
        <v>1119</v>
      </c>
      <c r="I335" s="326"/>
      <c r="J335" s="326"/>
      <c r="K335" s="334">
        <f t="shared" si="5"/>
        <v>0</v>
      </c>
      <c r="L335" s="334">
        <v>0</v>
      </c>
      <c r="M335" s="334"/>
      <c r="N335" s="334">
        <v>0</v>
      </c>
      <c r="O335" s="232"/>
      <c r="P335" s="232"/>
      <c r="Q335" s="232"/>
      <c r="R335" s="232"/>
      <c r="S335" s="232"/>
      <c r="T335" s="232"/>
    </row>
    <row r="336" spans="1:20">
      <c r="A336" s="174">
        <v>305</v>
      </c>
      <c r="B336" s="326">
        <v>100</v>
      </c>
      <c r="C336" s="326">
        <v>750</v>
      </c>
      <c r="D336" s="326">
        <v>300</v>
      </c>
      <c r="E336" s="326">
        <v>40</v>
      </c>
      <c r="F336" s="326">
        <v>50</v>
      </c>
      <c r="G336" s="330" t="s">
        <v>2261</v>
      </c>
      <c r="H336" s="330" t="s">
        <v>1122</v>
      </c>
      <c r="I336" s="326"/>
      <c r="J336" s="326"/>
      <c r="K336" s="334">
        <f t="shared" si="5"/>
        <v>0</v>
      </c>
      <c r="L336" s="334">
        <v>0</v>
      </c>
      <c r="M336" s="334"/>
      <c r="N336" s="334">
        <v>0</v>
      </c>
      <c r="O336" s="232"/>
      <c r="P336" s="232"/>
      <c r="Q336" s="232"/>
      <c r="R336" s="232"/>
      <c r="S336" s="232"/>
      <c r="T336" s="232"/>
    </row>
    <row r="337" spans="1:20">
      <c r="A337" s="174">
        <v>305</v>
      </c>
      <c r="B337" s="326">
        <v>100</v>
      </c>
      <c r="C337" s="326">
        <v>750</v>
      </c>
      <c r="D337" s="326">
        <v>300</v>
      </c>
      <c r="E337" s="326">
        <v>40</v>
      </c>
      <c r="F337" s="326">
        <v>55</v>
      </c>
      <c r="G337" s="330" t="s">
        <v>2262</v>
      </c>
      <c r="H337" s="330" t="s">
        <v>1122</v>
      </c>
      <c r="I337" s="326"/>
      <c r="J337" s="326"/>
      <c r="K337" s="334">
        <f t="shared" si="5"/>
        <v>0</v>
      </c>
      <c r="L337" s="334">
        <v>0</v>
      </c>
      <c r="M337" s="334"/>
      <c r="N337" s="334">
        <v>0</v>
      </c>
      <c r="O337" s="232"/>
      <c r="P337" s="232"/>
      <c r="Q337" s="232"/>
      <c r="R337" s="232"/>
      <c r="S337" s="232"/>
      <c r="T337" s="232"/>
    </row>
    <row r="338" spans="1:20">
      <c r="A338" s="174">
        <v>305</v>
      </c>
      <c r="B338" s="326">
        <v>100</v>
      </c>
      <c r="C338" s="326">
        <v>750</v>
      </c>
      <c r="D338" s="326">
        <v>300</v>
      </c>
      <c r="E338" s="326">
        <v>50</v>
      </c>
      <c r="F338" s="326">
        <v>0</v>
      </c>
      <c r="G338" s="330" t="s">
        <v>2648</v>
      </c>
      <c r="H338" s="330" t="s">
        <v>903</v>
      </c>
      <c r="I338" s="326" t="s">
        <v>904</v>
      </c>
      <c r="J338" s="326"/>
      <c r="K338" s="334">
        <f t="shared" si="5"/>
        <v>39104.99</v>
      </c>
      <c r="L338" s="334">
        <v>39104.99</v>
      </c>
      <c r="M338" s="334"/>
      <c r="N338" s="334">
        <v>33772.28</v>
      </c>
      <c r="O338" s="232"/>
      <c r="P338" s="232"/>
      <c r="Q338" s="232"/>
      <c r="R338" s="232"/>
      <c r="S338" s="232"/>
      <c r="T338" s="232"/>
    </row>
    <row r="339" spans="1:20">
      <c r="A339" s="174">
        <v>305</v>
      </c>
      <c r="B339" s="326">
        <v>100</v>
      </c>
      <c r="C339" s="326">
        <v>750</v>
      </c>
      <c r="D339" s="326">
        <v>300</v>
      </c>
      <c r="E339" s="326">
        <v>60</v>
      </c>
      <c r="F339" s="326">
        <v>0</v>
      </c>
      <c r="G339" s="331" t="s">
        <v>2649</v>
      </c>
      <c r="H339" s="331" t="s">
        <v>905</v>
      </c>
      <c r="I339" s="326" t="s">
        <v>906</v>
      </c>
      <c r="J339" s="325"/>
      <c r="K339" s="335">
        <f t="shared" si="5"/>
        <v>0</v>
      </c>
      <c r="L339" s="335">
        <v>0</v>
      </c>
      <c r="M339" s="335"/>
      <c r="N339" s="335">
        <v>0</v>
      </c>
      <c r="O339" s="232"/>
      <c r="P339" s="232"/>
      <c r="Q339" s="232"/>
      <c r="R339" s="232"/>
      <c r="S339" s="232"/>
      <c r="T339" s="232"/>
    </row>
    <row r="340" spans="1:20">
      <c r="A340" s="174">
        <v>305</v>
      </c>
      <c r="B340" s="326">
        <v>100</v>
      </c>
      <c r="C340" s="326">
        <v>750</v>
      </c>
      <c r="D340" s="326">
        <v>300</v>
      </c>
      <c r="E340" s="326">
        <v>60</v>
      </c>
      <c r="F340" s="326">
        <v>5</v>
      </c>
      <c r="G340" s="330" t="s">
        <v>2650</v>
      </c>
      <c r="H340" s="330" t="s">
        <v>907</v>
      </c>
      <c r="I340" s="326"/>
      <c r="J340" s="326"/>
      <c r="K340" s="334">
        <f t="shared" si="5"/>
        <v>0</v>
      </c>
      <c r="L340" s="334">
        <v>0</v>
      </c>
      <c r="M340" s="334"/>
      <c r="N340" s="334">
        <v>0</v>
      </c>
      <c r="O340" s="232"/>
      <c r="P340" s="232"/>
      <c r="Q340" s="232"/>
      <c r="R340" s="232"/>
      <c r="S340" s="232"/>
      <c r="T340" s="232"/>
    </row>
    <row r="341" spans="1:20">
      <c r="A341" s="174">
        <v>305</v>
      </c>
      <c r="B341" s="326">
        <v>100</v>
      </c>
      <c r="C341" s="326">
        <v>750</v>
      </c>
      <c r="D341" s="326">
        <v>300</v>
      </c>
      <c r="E341" s="326">
        <v>60</v>
      </c>
      <c r="F341" s="326">
        <v>10</v>
      </c>
      <c r="G341" s="330" t="s">
        <v>2651</v>
      </c>
      <c r="H341" s="330" t="s">
        <v>908</v>
      </c>
      <c r="I341" s="326"/>
      <c r="J341" s="326"/>
      <c r="K341" s="334">
        <f t="shared" si="5"/>
        <v>0</v>
      </c>
      <c r="L341" s="334">
        <v>0</v>
      </c>
      <c r="M341" s="334"/>
      <c r="N341" s="334">
        <v>0</v>
      </c>
      <c r="O341" s="232"/>
      <c r="P341" s="232"/>
      <c r="Q341" s="232"/>
      <c r="R341" s="232"/>
      <c r="S341" s="232"/>
      <c r="T341" s="232"/>
    </row>
    <row r="342" spans="1:20">
      <c r="A342" s="174">
        <v>305</v>
      </c>
      <c r="B342" s="326">
        <v>100</v>
      </c>
      <c r="C342" s="326">
        <v>750</v>
      </c>
      <c r="D342" s="326">
        <v>300</v>
      </c>
      <c r="E342" s="326">
        <v>60</v>
      </c>
      <c r="F342" s="326">
        <v>15</v>
      </c>
      <c r="G342" s="330" t="s">
        <v>2652</v>
      </c>
      <c r="H342" s="330" t="s">
        <v>909</v>
      </c>
      <c r="I342" s="326"/>
      <c r="J342" s="326"/>
      <c r="K342" s="334">
        <f t="shared" si="5"/>
        <v>975302.61</v>
      </c>
      <c r="L342" s="334">
        <v>975302.61</v>
      </c>
      <c r="M342" s="334"/>
      <c r="N342" s="334">
        <v>563702.34</v>
      </c>
      <c r="O342" s="232"/>
      <c r="P342" s="232"/>
      <c r="Q342" s="232"/>
      <c r="R342" s="232"/>
      <c r="S342" s="232"/>
      <c r="T342" s="232"/>
    </row>
    <row r="343" spans="1:20">
      <c r="A343" s="174">
        <v>305</v>
      </c>
      <c r="B343" s="326">
        <v>100</v>
      </c>
      <c r="C343" s="326">
        <v>750</v>
      </c>
      <c r="D343" s="326">
        <v>300</v>
      </c>
      <c r="E343" s="326">
        <v>60</v>
      </c>
      <c r="F343" s="326">
        <v>20</v>
      </c>
      <c r="G343" s="330" t="s">
        <v>2653</v>
      </c>
      <c r="H343" s="330" t="s">
        <v>910</v>
      </c>
      <c r="I343" s="326"/>
      <c r="J343" s="326"/>
      <c r="K343" s="334">
        <f t="shared" si="5"/>
        <v>457341.85</v>
      </c>
      <c r="L343" s="334">
        <v>457341.85</v>
      </c>
      <c r="M343" s="334"/>
      <c r="N343" s="334">
        <v>541214.79</v>
      </c>
      <c r="O343" s="232"/>
      <c r="P343" s="232"/>
      <c r="Q343" s="232"/>
      <c r="R343" s="232"/>
      <c r="S343" s="232"/>
      <c r="T343" s="232"/>
    </row>
    <row r="344" spans="1:20">
      <c r="A344" s="174">
        <v>305</v>
      </c>
      <c r="B344" s="326">
        <v>100</v>
      </c>
      <c r="C344" s="326">
        <v>750</v>
      </c>
      <c r="D344" s="326">
        <v>300</v>
      </c>
      <c r="E344" s="326">
        <v>60</v>
      </c>
      <c r="F344" s="326">
        <v>25</v>
      </c>
      <c r="G344" s="330" t="s">
        <v>2654</v>
      </c>
      <c r="H344" s="330" t="s">
        <v>911</v>
      </c>
      <c r="I344" s="326"/>
      <c r="J344" s="326"/>
      <c r="K344" s="334">
        <f t="shared" si="5"/>
        <v>4300</v>
      </c>
      <c r="L344" s="334">
        <v>4300</v>
      </c>
      <c r="M344" s="334"/>
      <c r="N344" s="334">
        <v>8655</v>
      </c>
      <c r="O344" s="232"/>
      <c r="P344" s="232"/>
      <c r="Q344" s="232"/>
      <c r="R344" s="232"/>
      <c r="S344" s="232"/>
      <c r="T344" s="232"/>
    </row>
    <row r="345" spans="1:20">
      <c r="A345" s="174">
        <v>305</v>
      </c>
      <c r="B345" s="326">
        <v>100</v>
      </c>
      <c r="C345" s="326">
        <v>750</v>
      </c>
      <c r="D345" s="326">
        <v>300</v>
      </c>
      <c r="E345" s="326">
        <v>60</v>
      </c>
      <c r="F345" s="326">
        <v>30</v>
      </c>
      <c r="G345" s="330" t="s">
        <v>2655</v>
      </c>
      <c r="H345" s="330" t="s">
        <v>912</v>
      </c>
      <c r="I345" s="326"/>
      <c r="J345" s="326"/>
      <c r="K345" s="334">
        <f t="shared" si="5"/>
        <v>102753.09</v>
      </c>
      <c r="L345" s="334">
        <v>102753.09</v>
      </c>
      <c r="M345" s="334"/>
      <c r="N345" s="334">
        <v>102417.58</v>
      </c>
      <c r="O345" s="232"/>
      <c r="P345" s="232"/>
      <c r="Q345" s="232"/>
      <c r="R345" s="232"/>
      <c r="S345" s="232"/>
      <c r="T345" s="232"/>
    </row>
    <row r="346" spans="1:20">
      <c r="A346" s="174">
        <v>305</v>
      </c>
      <c r="B346" s="326">
        <v>100</v>
      </c>
      <c r="C346" s="326">
        <v>750</v>
      </c>
      <c r="D346" s="326">
        <v>300</v>
      </c>
      <c r="E346" s="326">
        <v>60</v>
      </c>
      <c r="F346" s="326">
        <v>35</v>
      </c>
      <c r="G346" s="330" t="s">
        <v>2656</v>
      </c>
      <c r="H346" s="330" t="s">
        <v>913</v>
      </c>
      <c r="I346" s="326"/>
      <c r="J346" s="326"/>
      <c r="K346" s="334">
        <f t="shared" si="5"/>
        <v>0</v>
      </c>
      <c r="L346" s="334">
        <v>0</v>
      </c>
      <c r="M346" s="334"/>
      <c r="N346" s="334">
        <v>0</v>
      </c>
      <c r="O346" s="232"/>
      <c r="P346" s="232"/>
      <c r="Q346" s="232"/>
      <c r="R346" s="232"/>
      <c r="S346" s="232"/>
      <c r="T346" s="232"/>
    </row>
    <row r="347" spans="1:20" ht="25.5">
      <c r="A347" s="174">
        <v>305</v>
      </c>
      <c r="B347" s="326">
        <v>100</v>
      </c>
      <c r="C347" s="326">
        <v>750</v>
      </c>
      <c r="D347" s="326">
        <v>300</v>
      </c>
      <c r="E347" s="326">
        <v>60</v>
      </c>
      <c r="F347" s="326">
        <v>40</v>
      </c>
      <c r="G347" s="330" t="s">
        <v>2657</v>
      </c>
      <c r="H347" s="330" t="s">
        <v>914</v>
      </c>
      <c r="I347" s="326"/>
      <c r="J347" s="326"/>
      <c r="K347" s="334">
        <f t="shared" si="5"/>
        <v>0</v>
      </c>
      <c r="L347" s="334">
        <v>0</v>
      </c>
      <c r="M347" s="334"/>
      <c r="N347" s="334">
        <v>0</v>
      </c>
      <c r="O347" s="232"/>
      <c r="P347" s="232"/>
      <c r="Q347" s="232"/>
      <c r="R347" s="232"/>
      <c r="S347" s="232"/>
      <c r="T347" s="232"/>
    </row>
    <row r="348" spans="1:20" ht="25.5">
      <c r="A348" s="174">
        <v>305</v>
      </c>
      <c r="B348" s="326">
        <v>100</v>
      </c>
      <c r="C348" s="326">
        <v>750</v>
      </c>
      <c r="D348" s="326">
        <v>300</v>
      </c>
      <c r="E348" s="326">
        <v>60</v>
      </c>
      <c r="F348" s="326">
        <v>90</v>
      </c>
      <c r="G348" s="330" t="s">
        <v>2658</v>
      </c>
      <c r="H348" s="330" t="s">
        <v>915</v>
      </c>
      <c r="I348" s="326"/>
      <c r="J348" s="326"/>
      <c r="K348" s="334">
        <f t="shared" si="5"/>
        <v>28502.86</v>
      </c>
      <c r="L348" s="334">
        <v>28502.86</v>
      </c>
      <c r="M348" s="334"/>
      <c r="N348" s="334">
        <v>25524.99</v>
      </c>
      <c r="O348" s="232"/>
      <c r="P348" s="232"/>
      <c r="Q348" s="232"/>
      <c r="R348" s="232"/>
      <c r="S348" s="232"/>
      <c r="T348" s="232"/>
    </row>
    <row r="349" spans="1:20" ht="25.5">
      <c r="A349" s="174">
        <v>305</v>
      </c>
      <c r="B349" s="326">
        <v>100</v>
      </c>
      <c r="C349" s="326">
        <v>750</v>
      </c>
      <c r="D349" s="326">
        <v>400</v>
      </c>
      <c r="E349" s="326">
        <v>0</v>
      </c>
      <c r="F349" s="326">
        <v>0</v>
      </c>
      <c r="G349" s="331" t="s">
        <v>2659</v>
      </c>
      <c r="H349" s="331" t="s">
        <v>916</v>
      </c>
      <c r="I349" s="332" t="s">
        <v>917</v>
      </c>
      <c r="J349" s="333"/>
      <c r="K349" s="335">
        <f t="shared" si="5"/>
        <v>0</v>
      </c>
      <c r="L349" s="335">
        <v>0</v>
      </c>
      <c r="M349" s="335"/>
      <c r="N349" s="335">
        <v>0</v>
      </c>
      <c r="O349" s="232"/>
      <c r="P349" s="232"/>
      <c r="Q349" s="232"/>
      <c r="R349" s="232"/>
      <c r="S349" s="232"/>
      <c r="T349" s="232"/>
    </row>
    <row r="350" spans="1:20" ht="38.25">
      <c r="A350" s="174">
        <v>305</v>
      </c>
      <c r="B350" s="326">
        <v>100</v>
      </c>
      <c r="C350" s="326">
        <v>750</v>
      </c>
      <c r="D350" s="326">
        <v>400</v>
      </c>
      <c r="E350" s="326">
        <v>10</v>
      </c>
      <c r="F350" s="326">
        <v>0</v>
      </c>
      <c r="G350" s="330" t="s">
        <v>2660</v>
      </c>
      <c r="H350" s="330" t="s">
        <v>918</v>
      </c>
      <c r="I350" s="332" t="s">
        <v>919</v>
      </c>
      <c r="J350" s="332" t="s">
        <v>1530</v>
      </c>
      <c r="K350" s="334">
        <f t="shared" si="5"/>
        <v>0</v>
      </c>
      <c r="L350" s="334">
        <v>0</v>
      </c>
      <c r="M350" s="334"/>
      <c r="N350" s="334">
        <v>10408.219999999999</v>
      </c>
      <c r="O350" s="232"/>
      <c r="P350" s="232"/>
      <c r="Q350" s="232"/>
      <c r="R350" s="232"/>
      <c r="S350" s="232"/>
      <c r="T350" s="232"/>
    </row>
    <row r="351" spans="1:20" ht="25.5">
      <c r="A351" s="174">
        <v>305</v>
      </c>
      <c r="B351" s="326">
        <v>100</v>
      </c>
      <c r="C351" s="326">
        <v>750</v>
      </c>
      <c r="D351" s="326">
        <v>400</v>
      </c>
      <c r="E351" s="326">
        <v>20</v>
      </c>
      <c r="F351" s="326">
        <v>0</v>
      </c>
      <c r="G351" s="330" t="s">
        <v>2661</v>
      </c>
      <c r="H351" s="330" t="s">
        <v>920</v>
      </c>
      <c r="I351" s="326" t="s">
        <v>921</v>
      </c>
      <c r="J351" s="326"/>
      <c r="K351" s="334">
        <f t="shared" si="5"/>
        <v>0</v>
      </c>
      <c r="L351" s="334">
        <v>0</v>
      </c>
      <c r="M351" s="334"/>
      <c r="N351" s="334">
        <v>0</v>
      </c>
      <c r="O351" s="232"/>
      <c r="P351" s="232"/>
      <c r="Q351" s="232"/>
      <c r="R351" s="232"/>
      <c r="S351" s="232"/>
      <c r="T351" s="232"/>
    </row>
    <row r="352" spans="1:20" ht="25.5">
      <c r="A352" s="174">
        <v>305</v>
      </c>
      <c r="B352" s="326">
        <v>100</v>
      </c>
      <c r="C352" s="326">
        <v>750</v>
      </c>
      <c r="D352" s="326">
        <v>400</v>
      </c>
      <c r="E352" s="326">
        <v>30</v>
      </c>
      <c r="F352" s="326">
        <v>0</v>
      </c>
      <c r="G352" s="330" t="s">
        <v>2662</v>
      </c>
      <c r="H352" s="330" t="s">
        <v>922</v>
      </c>
      <c r="I352" s="326" t="s">
        <v>923</v>
      </c>
      <c r="J352" s="326" t="s">
        <v>1579</v>
      </c>
      <c r="K352" s="334">
        <f t="shared" si="5"/>
        <v>33812.230000000003</v>
      </c>
      <c r="L352" s="334">
        <v>33812.230000000003</v>
      </c>
      <c r="M352" s="334"/>
      <c r="N352" s="334">
        <v>0</v>
      </c>
      <c r="O352" s="232"/>
      <c r="P352" s="232"/>
      <c r="Q352" s="232"/>
      <c r="R352" s="232"/>
      <c r="S352" s="232"/>
      <c r="T352" s="232"/>
    </row>
    <row r="353" spans="1:20">
      <c r="A353" s="174">
        <v>305</v>
      </c>
      <c r="B353" s="326">
        <v>100</v>
      </c>
      <c r="C353" s="326">
        <v>800</v>
      </c>
      <c r="D353" s="326">
        <v>0</v>
      </c>
      <c r="E353" s="326">
        <v>0</v>
      </c>
      <c r="F353" s="326">
        <v>0</v>
      </c>
      <c r="G353" s="331" t="s">
        <v>2663</v>
      </c>
      <c r="H353" s="331" t="s">
        <v>924</v>
      </c>
      <c r="I353" s="332" t="s">
        <v>925</v>
      </c>
      <c r="J353" s="333"/>
      <c r="K353" s="335">
        <f t="shared" si="5"/>
        <v>0</v>
      </c>
      <c r="L353" s="335">
        <v>0</v>
      </c>
      <c r="M353" s="335"/>
      <c r="N353" s="335">
        <v>0</v>
      </c>
      <c r="O353" s="232"/>
      <c r="P353" s="232"/>
      <c r="Q353" s="232"/>
      <c r="R353" s="232"/>
      <c r="S353" s="232"/>
      <c r="T353" s="232"/>
    </row>
    <row r="354" spans="1:20" ht="38.25">
      <c r="A354" s="174">
        <v>305</v>
      </c>
      <c r="B354" s="326">
        <v>100</v>
      </c>
      <c r="C354" s="326">
        <v>800</v>
      </c>
      <c r="D354" s="326">
        <v>100</v>
      </c>
      <c r="E354" s="326">
        <v>0</v>
      </c>
      <c r="F354" s="326">
        <v>0</v>
      </c>
      <c r="G354" s="330" t="s">
        <v>2664</v>
      </c>
      <c r="H354" s="330" t="s">
        <v>926</v>
      </c>
      <c r="I354" s="332" t="s">
        <v>927</v>
      </c>
      <c r="J354" s="332" t="s">
        <v>1530</v>
      </c>
      <c r="K354" s="334">
        <f t="shared" si="5"/>
        <v>0</v>
      </c>
      <c r="L354" s="334">
        <v>0</v>
      </c>
      <c r="M354" s="334"/>
      <c r="N354" s="334">
        <v>0</v>
      </c>
      <c r="O354" s="232"/>
      <c r="P354" s="232"/>
      <c r="Q354" s="232"/>
      <c r="R354" s="232"/>
      <c r="S354" s="232"/>
      <c r="T354" s="232"/>
    </row>
    <row r="355" spans="1:20" ht="38.25">
      <c r="A355" s="174">
        <v>305</v>
      </c>
      <c r="B355" s="326">
        <v>100</v>
      </c>
      <c r="C355" s="326">
        <v>800</v>
      </c>
      <c r="D355" s="326">
        <v>200</v>
      </c>
      <c r="E355" s="326">
        <v>0</v>
      </c>
      <c r="F355" s="326">
        <v>0</v>
      </c>
      <c r="G355" s="330" t="s">
        <v>2665</v>
      </c>
      <c r="H355" s="330" t="s">
        <v>928</v>
      </c>
      <c r="I355" s="326" t="s">
        <v>929</v>
      </c>
      <c r="J355" s="326"/>
      <c r="K355" s="334">
        <f t="shared" si="5"/>
        <v>0</v>
      </c>
      <c r="L355" s="334">
        <v>0</v>
      </c>
      <c r="M355" s="334"/>
      <c r="N355" s="334">
        <v>0</v>
      </c>
      <c r="O355" s="232"/>
      <c r="P355" s="232"/>
      <c r="Q355" s="232"/>
      <c r="R355" s="232"/>
      <c r="S355" s="232"/>
      <c r="T355" s="232"/>
    </row>
    <row r="356" spans="1:20" ht="25.5">
      <c r="A356" s="174">
        <v>305</v>
      </c>
      <c r="B356" s="326">
        <v>100</v>
      </c>
      <c r="C356" s="326">
        <v>800</v>
      </c>
      <c r="D356" s="326">
        <v>300</v>
      </c>
      <c r="E356" s="326">
        <v>0</v>
      </c>
      <c r="F356" s="326">
        <v>0</v>
      </c>
      <c r="G356" s="330" t="s">
        <v>2666</v>
      </c>
      <c r="H356" s="330" t="s">
        <v>930</v>
      </c>
      <c r="I356" s="326" t="s">
        <v>931</v>
      </c>
      <c r="J356" s="326" t="s">
        <v>1579</v>
      </c>
      <c r="K356" s="334">
        <f t="shared" si="5"/>
        <v>0</v>
      </c>
      <c r="L356" s="334">
        <v>0</v>
      </c>
      <c r="M356" s="334"/>
      <c r="N356" s="334">
        <v>0</v>
      </c>
      <c r="O356" s="232"/>
      <c r="P356" s="232"/>
      <c r="Q356" s="232"/>
      <c r="R356" s="232"/>
      <c r="S356" s="232"/>
      <c r="T356" s="232"/>
    </row>
    <row r="357" spans="1:20">
      <c r="A357" s="174">
        <v>305</v>
      </c>
      <c r="B357" s="326">
        <v>100</v>
      </c>
      <c r="C357" s="326">
        <v>800</v>
      </c>
      <c r="D357" s="326">
        <v>400</v>
      </c>
      <c r="E357" s="326">
        <v>0</v>
      </c>
      <c r="F357" s="326">
        <v>0</v>
      </c>
      <c r="G357" s="331" t="s">
        <v>2667</v>
      </c>
      <c r="H357" s="331" t="s">
        <v>932</v>
      </c>
      <c r="I357" s="326" t="s">
        <v>933</v>
      </c>
      <c r="J357" s="325"/>
      <c r="K357" s="335">
        <f t="shared" si="5"/>
        <v>0</v>
      </c>
      <c r="L357" s="335">
        <v>0</v>
      </c>
      <c r="M357" s="335"/>
      <c r="N357" s="335">
        <v>0</v>
      </c>
      <c r="O357" s="232"/>
      <c r="P357" s="232"/>
      <c r="Q357" s="232"/>
      <c r="R357" s="232"/>
      <c r="S357" s="232"/>
      <c r="T357" s="232"/>
    </row>
    <row r="358" spans="1:20">
      <c r="A358" s="174">
        <v>305</v>
      </c>
      <c r="B358" s="326">
        <v>100</v>
      </c>
      <c r="C358" s="326">
        <v>800</v>
      </c>
      <c r="D358" s="326">
        <v>400</v>
      </c>
      <c r="E358" s="326">
        <v>10</v>
      </c>
      <c r="F358" s="326">
        <v>0</v>
      </c>
      <c r="G358" s="330" t="s">
        <v>2668</v>
      </c>
      <c r="H358" s="330" t="s">
        <v>934</v>
      </c>
      <c r="I358" s="326"/>
      <c r="J358" s="326"/>
      <c r="K358" s="334">
        <f t="shared" si="5"/>
        <v>0</v>
      </c>
      <c r="L358" s="334">
        <v>0</v>
      </c>
      <c r="M358" s="334"/>
      <c r="N358" s="334">
        <v>0</v>
      </c>
      <c r="O358" s="232"/>
      <c r="P358" s="232"/>
      <c r="Q358" s="232"/>
      <c r="R358" s="232"/>
      <c r="S358" s="232"/>
      <c r="T358" s="232"/>
    </row>
    <row r="359" spans="1:20">
      <c r="A359" s="174">
        <v>305</v>
      </c>
      <c r="B359" s="326">
        <v>100</v>
      </c>
      <c r="C359" s="326">
        <v>800</v>
      </c>
      <c r="D359" s="326">
        <v>400</v>
      </c>
      <c r="E359" s="326">
        <v>20</v>
      </c>
      <c r="F359" s="326">
        <v>0</v>
      </c>
      <c r="G359" s="330" t="s">
        <v>2497</v>
      </c>
      <c r="H359" s="330" t="s">
        <v>735</v>
      </c>
      <c r="I359" s="326"/>
      <c r="J359" s="326"/>
      <c r="K359" s="334">
        <f t="shared" si="5"/>
        <v>0</v>
      </c>
      <c r="L359" s="334">
        <v>0</v>
      </c>
      <c r="M359" s="334"/>
      <c r="N359" s="334">
        <v>0</v>
      </c>
      <c r="O359" s="232"/>
      <c r="P359" s="232"/>
      <c r="Q359" s="232"/>
      <c r="R359" s="232"/>
      <c r="S359" s="232"/>
      <c r="T359" s="232"/>
    </row>
    <row r="360" spans="1:20">
      <c r="A360" s="174">
        <v>305</v>
      </c>
      <c r="B360" s="326">
        <v>100</v>
      </c>
      <c r="C360" s="326">
        <v>800</v>
      </c>
      <c r="D360" s="326">
        <v>400</v>
      </c>
      <c r="E360" s="326">
        <v>30</v>
      </c>
      <c r="F360" s="326">
        <v>0</v>
      </c>
      <c r="G360" s="330" t="s">
        <v>2533</v>
      </c>
      <c r="H360" s="330" t="s">
        <v>3460</v>
      </c>
      <c r="I360" s="326"/>
      <c r="J360" s="326"/>
      <c r="K360" s="334">
        <f t="shared" si="5"/>
        <v>0</v>
      </c>
      <c r="L360" s="334">
        <v>0</v>
      </c>
      <c r="M360" s="334"/>
      <c r="N360" s="334">
        <v>0</v>
      </c>
      <c r="O360" s="232"/>
      <c r="P360" s="232"/>
      <c r="Q360" s="232"/>
      <c r="R360" s="232"/>
      <c r="S360" s="232"/>
      <c r="T360" s="232"/>
    </row>
    <row r="361" spans="1:20">
      <c r="A361" s="174">
        <v>305</v>
      </c>
      <c r="B361" s="326">
        <v>100</v>
      </c>
      <c r="C361" s="326">
        <v>800</v>
      </c>
      <c r="D361" s="326">
        <v>400</v>
      </c>
      <c r="E361" s="326">
        <v>90</v>
      </c>
      <c r="F361" s="326">
        <v>0</v>
      </c>
      <c r="G361" s="330" t="s">
        <v>2669</v>
      </c>
      <c r="H361" s="330" t="s">
        <v>932</v>
      </c>
      <c r="I361" s="326"/>
      <c r="J361" s="326"/>
      <c r="K361" s="334">
        <f t="shared" si="5"/>
        <v>711801.34</v>
      </c>
      <c r="L361" s="334">
        <v>711801.34</v>
      </c>
      <c r="M361" s="334"/>
      <c r="N361" s="334">
        <v>930897.64</v>
      </c>
      <c r="O361" s="232"/>
      <c r="P361" s="232"/>
      <c r="Q361" s="232"/>
      <c r="R361" s="232"/>
      <c r="S361" s="232"/>
      <c r="T361" s="232"/>
    </row>
    <row r="362" spans="1:20" ht="25.5">
      <c r="A362" s="174">
        <v>305</v>
      </c>
      <c r="B362" s="326">
        <v>100</v>
      </c>
      <c r="C362" s="326">
        <v>800</v>
      </c>
      <c r="D362" s="326">
        <v>500</v>
      </c>
      <c r="E362" s="326">
        <v>0</v>
      </c>
      <c r="F362" s="326">
        <v>0</v>
      </c>
      <c r="G362" s="330" t="s">
        <v>2670</v>
      </c>
      <c r="H362" s="330" t="s">
        <v>935</v>
      </c>
      <c r="I362" s="326" t="s">
        <v>936</v>
      </c>
      <c r="J362" s="326"/>
      <c r="K362" s="334">
        <f t="shared" si="5"/>
        <v>0</v>
      </c>
      <c r="L362" s="334">
        <v>0</v>
      </c>
      <c r="M362" s="334"/>
      <c r="N362" s="334">
        <v>0</v>
      </c>
      <c r="O362" s="232"/>
      <c r="P362" s="232"/>
      <c r="Q362" s="232"/>
      <c r="R362" s="232"/>
      <c r="S362" s="232"/>
      <c r="T362" s="232"/>
    </row>
    <row r="363" spans="1:20" ht="25.5">
      <c r="A363" s="174">
        <v>305</v>
      </c>
      <c r="B363" s="326">
        <v>100</v>
      </c>
      <c r="C363" s="326">
        <v>800</v>
      </c>
      <c r="D363" s="326">
        <v>600</v>
      </c>
      <c r="E363" s="326">
        <v>0</v>
      </c>
      <c r="F363" s="326">
        <v>0</v>
      </c>
      <c r="G363" s="330" t="s">
        <v>2671</v>
      </c>
      <c r="H363" s="330" t="s">
        <v>937</v>
      </c>
      <c r="I363" s="326" t="s">
        <v>938</v>
      </c>
      <c r="J363" s="326" t="s">
        <v>1530</v>
      </c>
      <c r="K363" s="334">
        <f t="shared" si="5"/>
        <v>0</v>
      </c>
      <c r="L363" s="334">
        <v>0</v>
      </c>
      <c r="M363" s="334"/>
      <c r="N363" s="334">
        <v>0</v>
      </c>
      <c r="O363" s="232"/>
      <c r="P363" s="232"/>
      <c r="Q363" s="232"/>
      <c r="R363" s="232"/>
      <c r="S363" s="232"/>
      <c r="T363" s="232"/>
    </row>
    <row r="364" spans="1:20" ht="25.5">
      <c r="A364" s="174">
        <v>305</v>
      </c>
      <c r="B364" s="326">
        <v>100</v>
      </c>
      <c r="C364" s="326">
        <v>800</v>
      </c>
      <c r="D364" s="326">
        <v>700</v>
      </c>
      <c r="E364" s="326">
        <v>0</v>
      </c>
      <c r="F364" s="326">
        <v>0</v>
      </c>
      <c r="G364" s="330" t="s">
        <v>2672</v>
      </c>
      <c r="H364" s="330" t="s">
        <v>939</v>
      </c>
      <c r="I364" s="326" t="s">
        <v>940</v>
      </c>
      <c r="J364" s="326" t="s">
        <v>1579</v>
      </c>
      <c r="K364" s="334">
        <f t="shared" si="5"/>
        <v>0</v>
      </c>
      <c r="L364" s="334">
        <v>0</v>
      </c>
      <c r="M364" s="334"/>
      <c r="N364" s="334">
        <v>0</v>
      </c>
      <c r="O364" s="232"/>
      <c r="P364" s="232"/>
      <c r="Q364" s="232"/>
      <c r="R364" s="232"/>
      <c r="S364" s="232"/>
      <c r="T364" s="232"/>
    </row>
    <row r="365" spans="1:20" ht="25.5">
      <c r="A365" s="174">
        <v>305</v>
      </c>
      <c r="B365" s="326">
        <v>100</v>
      </c>
      <c r="C365" s="326">
        <v>850</v>
      </c>
      <c r="D365" s="326">
        <v>0</v>
      </c>
      <c r="E365" s="326">
        <v>0</v>
      </c>
      <c r="F365" s="326">
        <v>0</v>
      </c>
      <c r="G365" s="330" t="s">
        <v>2673</v>
      </c>
      <c r="H365" s="330" t="s">
        <v>942</v>
      </c>
      <c r="I365" s="326" t="s">
        <v>941</v>
      </c>
      <c r="J365" s="326" t="s">
        <v>1575</v>
      </c>
      <c r="K365" s="334">
        <f t="shared" si="5"/>
        <v>0</v>
      </c>
      <c r="L365" s="334">
        <v>0</v>
      </c>
      <c r="M365" s="334"/>
      <c r="N365" s="334">
        <v>0</v>
      </c>
      <c r="O365" s="232"/>
      <c r="P365" s="232"/>
      <c r="Q365" s="232"/>
      <c r="R365" s="232"/>
      <c r="S365" s="232"/>
      <c r="T365" s="232"/>
    </row>
    <row r="366" spans="1:20">
      <c r="A366" s="174">
        <v>305</v>
      </c>
      <c r="B366" s="326">
        <v>200</v>
      </c>
      <c r="C366" s="326">
        <v>0</v>
      </c>
      <c r="D366" s="326">
        <v>0</v>
      </c>
      <c r="E366" s="326">
        <v>0</v>
      </c>
      <c r="F366" s="326">
        <v>0</v>
      </c>
      <c r="G366" s="331" t="s">
        <v>2674</v>
      </c>
      <c r="H366" s="331" t="s">
        <v>55</v>
      </c>
      <c r="I366" s="326" t="s">
        <v>943</v>
      </c>
      <c r="J366" s="325"/>
      <c r="K366" s="335">
        <f t="shared" si="5"/>
        <v>0</v>
      </c>
      <c r="L366" s="335">
        <v>0</v>
      </c>
      <c r="M366" s="335"/>
      <c r="N366" s="335">
        <v>0</v>
      </c>
      <c r="O366" s="232"/>
      <c r="P366" s="232"/>
      <c r="Q366" s="232"/>
      <c r="R366" s="232"/>
      <c r="S366" s="232"/>
      <c r="T366" s="232"/>
    </row>
    <row r="367" spans="1:20">
      <c r="A367" s="174">
        <v>305</v>
      </c>
      <c r="B367" s="326">
        <v>200</v>
      </c>
      <c r="C367" s="326">
        <v>100</v>
      </c>
      <c r="D367" s="326">
        <v>0</v>
      </c>
      <c r="E367" s="326">
        <v>0</v>
      </c>
      <c r="F367" s="326">
        <v>0</v>
      </c>
      <c r="G367" s="331" t="s">
        <v>2675</v>
      </c>
      <c r="H367" s="331" t="s">
        <v>944</v>
      </c>
      <c r="I367" s="326" t="s">
        <v>945</v>
      </c>
      <c r="J367" s="325"/>
      <c r="K367" s="335">
        <f t="shared" si="5"/>
        <v>0</v>
      </c>
      <c r="L367" s="335">
        <v>0</v>
      </c>
      <c r="M367" s="335"/>
      <c r="N367" s="335">
        <v>0</v>
      </c>
      <c r="O367" s="232"/>
      <c r="P367" s="232"/>
      <c r="Q367" s="232"/>
      <c r="R367" s="232"/>
      <c r="S367" s="232"/>
      <c r="T367" s="232"/>
    </row>
    <row r="368" spans="1:20">
      <c r="A368" s="174">
        <v>305</v>
      </c>
      <c r="B368" s="326">
        <v>200</v>
      </c>
      <c r="C368" s="326">
        <v>100</v>
      </c>
      <c r="D368" s="326">
        <v>50</v>
      </c>
      <c r="E368" s="326">
        <v>0</v>
      </c>
      <c r="F368" s="326">
        <v>0</v>
      </c>
      <c r="G368" s="330" t="s">
        <v>2676</v>
      </c>
      <c r="H368" s="330" t="s">
        <v>946</v>
      </c>
      <c r="I368" s="326" t="s">
        <v>947</v>
      </c>
      <c r="J368" s="326"/>
      <c r="K368" s="334">
        <f t="shared" si="5"/>
        <v>582432.28</v>
      </c>
      <c r="L368" s="334">
        <v>582432.28</v>
      </c>
      <c r="M368" s="334"/>
      <c r="N368" s="334">
        <v>617689.86</v>
      </c>
      <c r="O368" s="232"/>
      <c r="P368" s="232"/>
      <c r="Q368" s="232"/>
      <c r="R368" s="232"/>
      <c r="S368" s="232"/>
      <c r="T368" s="232"/>
    </row>
    <row r="369" spans="1:20">
      <c r="A369" s="174">
        <v>305</v>
      </c>
      <c r="B369" s="326">
        <v>200</v>
      </c>
      <c r="C369" s="326">
        <v>100</v>
      </c>
      <c r="D369" s="326">
        <v>100</v>
      </c>
      <c r="E369" s="326">
        <v>0</v>
      </c>
      <c r="F369" s="326">
        <v>0</v>
      </c>
      <c r="G369" s="330" t="s">
        <v>2677</v>
      </c>
      <c r="H369" s="330" t="s">
        <v>948</v>
      </c>
      <c r="I369" s="326" t="s">
        <v>949</v>
      </c>
      <c r="J369" s="326"/>
      <c r="K369" s="334">
        <f t="shared" si="5"/>
        <v>1945000.42</v>
      </c>
      <c r="L369" s="334">
        <v>1945000.42</v>
      </c>
      <c r="M369" s="334"/>
      <c r="N369" s="334">
        <v>1826415.35</v>
      </c>
      <c r="O369" s="232"/>
      <c r="P369" s="232"/>
      <c r="Q369" s="232"/>
      <c r="R369" s="232"/>
      <c r="S369" s="232"/>
      <c r="T369" s="232"/>
    </row>
    <row r="370" spans="1:20">
      <c r="A370" s="174">
        <v>305</v>
      </c>
      <c r="B370" s="326">
        <v>200</v>
      </c>
      <c r="C370" s="326">
        <v>100</v>
      </c>
      <c r="D370" s="326">
        <v>150</v>
      </c>
      <c r="E370" s="326">
        <v>0</v>
      </c>
      <c r="F370" s="326">
        <v>0</v>
      </c>
      <c r="G370" s="330" t="s">
        <v>2678</v>
      </c>
      <c r="H370" s="331" t="s">
        <v>950</v>
      </c>
      <c r="I370" s="326" t="s">
        <v>951</v>
      </c>
      <c r="J370" s="325"/>
      <c r="K370" s="335">
        <f t="shared" si="5"/>
        <v>0</v>
      </c>
      <c r="L370" s="335">
        <v>0</v>
      </c>
      <c r="M370" s="335"/>
      <c r="N370" s="335">
        <v>0</v>
      </c>
      <c r="O370" s="232"/>
      <c r="P370" s="232"/>
      <c r="Q370" s="232"/>
      <c r="R370" s="232"/>
      <c r="S370" s="232"/>
      <c r="T370" s="232"/>
    </row>
    <row r="371" spans="1:20">
      <c r="A371" s="174">
        <v>305</v>
      </c>
      <c r="B371" s="326">
        <v>200</v>
      </c>
      <c r="C371" s="326">
        <v>100</v>
      </c>
      <c r="D371" s="326">
        <v>150</v>
      </c>
      <c r="E371" s="326">
        <v>10</v>
      </c>
      <c r="F371" s="326">
        <v>0</v>
      </c>
      <c r="G371" s="330" t="s">
        <v>2679</v>
      </c>
      <c r="H371" s="330" t="s">
        <v>952</v>
      </c>
      <c r="I371" s="326" t="s">
        <v>953</v>
      </c>
      <c r="J371" s="326"/>
      <c r="K371" s="334">
        <f t="shared" si="5"/>
        <v>224453.62</v>
      </c>
      <c r="L371" s="334">
        <v>224453.62</v>
      </c>
      <c r="M371" s="334"/>
      <c r="N371" s="334">
        <v>190472.07</v>
      </c>
      <c r="O371" s="232"/>
      <c r="P371" s="232"/>
      <c r="Q371" s="232"/>
      <c r="R371" s="232"/>
      <c r="S371" s="232"/>
      <c r="T371" s="232"/>
    </row>
    <row r="372" spans="1:20">
      <c r="A372" s="174">
        <v>305</v>
      </c>
      <c r="B372" s="326">
        <v>200</v>
      </c>
      <c r="C372" s="326">
        <v>100</v>
      </c>
      <c r="D372" s="326">
        <v>150</v>
      </c>
      <c r="E372" s="326">
        <v>20</v>
      </c>
      <c r="F372" s="326">
        <v>0</v>
      </c>
      <c r="G372" s="330" t="s">
        <v>2680</v>
      </c>
      <c r="H372" s="330" t="s">
        <v>954</v>
      </c>
      <c r="I372" s="326" t="s">
        <v>955</v>
      </c>
      <c r="J372" s="326"/>
      <c r="K372" s="334">
        <f t="shared" si="5"/>
        <v>723194.02</v>
      </c>
      <c r="L372" s="334">
        <v>723194.02</v>
      </c>
      <c r="M372" s="334"/>
      <c r="N372" s="334">
        <v>718043.74</v>
      </c>
      <c r="O372" s="232"/>
      <c r="P372" s="232"/>
      <c r="Q372" s="232"/>
      <c r="R372" s="232"/>
      <c r="S372" s="232"/>
      <c r="T372" s="232"/>
    </row>
    <row r="373" spans="1:20">
      <c r="A373" s="174">
        <v>305</v>
      </c>
      <c r="B373" s="326">
        <v>200</v>
      </c>
      <c r="C373" s="326">
        <v>100</v>
      </c>
      <c r="D373" s="326">
        <v>200</v>
      </c>
      <c r="E373" s="326">
        <v>0</v>
      </c>
      <c r="F373" s="326">
        <v>0</v>
      </c>
      <c r="G373" s="330" t="s">
        <v>2681</v>
      </c>
      <c r="H373" s="330" t="s">
        <v>956</v>
      </c>
      <c r="I373" s="326" t="s">
        <v>957</v>
      </c>
      <c r="J373" s="326"/>
      <c r="K373" s="334">
        <f t="shared" si="5"/>
        <v>1740995.79</v>
      </c>
      <c r="L373" s="334">
        <v>1740995.79</v>
      </c>
      <c r="M373" s="334"/>
      <c r="N373" s="334">
        <v>1917050.62</v>
      </c>
      <c r="O373" s="232"/>
      <c r="P373" s="232"/>
      <c r="Q373" s="232"/>
      <c r="R373" s="232"/>
      <c r="S373" s="232"/>
      <c r="T373" s="232"/>
    </row>
    <row r="374" spans="1:20">
      <c r="A374" s="174">
        <v>305</v>
      </c>
      <c r="B374" s="326">
        <v>200</v>
      </c>
      <c r="C374" s="326">
        <v>100</v>
      </c>
      <c r="D374" s="326">
        <v>250</v>
      </c>
      <c r="E374" s="326">
        <v>0</v>
      </c>
      <c r="F374" s="326">
        <v>0</v>
      </c>
      <c r="G374" s="331" t="s">
        <v>2682</v>
      </c>
      <c r="H374" s="331" t="s">
        <v>958</v>
      </c>
      <c r="I374" s="326" t="s">
        <v>959</v>
      </c>
      <c r="J374" s="325"/>
      <c r="K374" s="335">
        <f t="shared" si="5"/>
        <v>0</v>
      </c>
      <c r="L374" s="335">
        <v>0</v>
      </c>
      <c r="M374" s="335"/>
      <c r="N374" s="335">
        <v>0</v>
      </c>
      <c r="O374" s="232"/>
      <c r="P374" s="232"/>
      <c r="Q374" s="232"/>
      <c r="R374" s="232"/>
      <c r="S374" s="232"/>
      <c r="T374" s="232"/>
    </row>
    <row r="375" spans="1:20">
      <c r="A375" s="174">
        <v>305</v>
      </c>
      <c r="B375" s="326">
        <v>200</v>
      </c>
      <c r="C375" s="326">
        <v>100</v>
      </c>
      <c r="D375" s="326">
        <v>250</v>
      </c>
      <c r="E375" s="326">
        <v>10</v>
      </c>
      <c r="F375" s="326">
        <v>0</v>
      </c>
      <c r="G375" s="330" t="s">
        <v>2683</v>
      </c>
      <c r="H375" s="330" t="s">
        <v>960</v>
      </c>
      <c r="I375" s="326"/>
      <c r="J375" s="326"/>
      <c r="K375" s="341">
        <f t="shared" si="5"/>
        <v>0</v>
      </c>
      <c r="L375" s="341">
        <v>0</v>
      </c>
      <c r="M375" s="341"/>
      <c r="N375" s="341">
        <v>0</v>
      </c>
      <c r="O375" s="232"/>
      <c r="P375" s="232"/>
      <c r="Q375" s="232"/>
      <c r="R375" s="232"/>
      <c r="S375" s="232"/>
      <c r="T375" s="232"/>
    </row>
    <row r="376" spans="1:20">
      <c r="A376" s="174">
        <v>305</v>
      </c>
      <c r="B376" s="326">
        <v>200</v>
      </c>
      <c r="C376" s="326">
        <v>100</v>
      </c>
      <c r="D376" s="326">
        <v>250</v>
      </c>
      <c r="E376" s="326">
        <v>20</v>
      </c>
      <c r="F376" s="326">
        <v>0</v>
      </c>
      <c r="G376" s="330" t="s">
        <v>2684</v>
      </c>
      <c r="H376" s="330" t="s">
        <v>961</v>
      </c>
      <c r="I376" s="326"/>
      <c r="J376" s="326"/>
      <c r="K376" s="341">
        <f t="shared" si="5"/>
        <v>0</v>
      </c>
      <c r="L376" s="341">
        <v>0</v>
      </c>
      <c r="M376" s="341"/>
      <c r="N376" s="341">
        <v>0</v>
      </c>
      <c r="O376" s="232"/>
      <c r="P376" s="232"/>
      <c r="Q376" s="232"/>
      <c r="R376" s="232"/>
      <c r="S376" s="232"/>
      <c r="T376" s="232"/>
    </row>
    <row r="377" spans="1:20">
      <c r="A377" s="174">
        <v>305</v>
      </c>
      <c r="B377" s="326">
        <v>200</v>
      </c>
      <c r="C377" s="326">
        <v>100</v>
      </c>
      <c r="D377" s="326">
        <v>250</v>
      </c>
      <c r="E377" s="326">
        <v>90</v>
      </c>
      <c r="F377" s="326">
        <v>0</v>
      </c>
      <c r="G377" s="330" t="s">
        <v>2685</v>
      </c>
      <c r="H377" s="330" t="s">
        <v>962</v>
      </c>
      <c r="I377" s="326"/>
      <c r="J377" s="326"/>
      <c r="K377" s="341">
        <f t="shared" si="5"/>
        <v>0</v>
      </c>
      <c r="L377" s="341">
        <v>0</v>
      </c>
      <c r="M377" s="341"/>
      <c r="N377" s="341">
        <v>0</v>
      </c>
      <c r="O377" s="232"/>
      <c r="P377" s="232"/>
      <c r="Q377" s="232"/>
      <c r="R377" s="232"/>
      <c r="S377" s="232"/>
      <c r="T377" s="232"/>
    </row>
    <row r="378" spans="1:20">
      <c r="A378" s="174">
        <v>305</v>
      </c>
      <c r="B378" s="326">
        <v>200</v>
      </c>
      <c r="C378" s="326">
        <v>100</v>
      </c>
      <c r="D378" s="326">
        <v>300</v>
      </c>
      <c r="E378" s="326">
        <v>0</v>
      </c>
      <c r="F378" s="326">
        <v>0</v>
      </c>
      <c r="G378" s="330" t="s">
        <v>2686</v>
      </c>
      <c r="H378" s="330" t="s">
        <v>963</v>
      </c>
      <c r="I378" s="326" t="s">
        <v>964</v>
      </c>
      <c r="J378" s="326"/>
      <c r="K378" s="334">
        <f t="shared" si="5"/>
        <v>328003.09999999998</v>
      </c>
      <c r="L378" s="334">
        <v>328003.09999999998</v>
      </c>
      <c r="M378" s="334"/>
      <c r="N378" s="334">
        <v>255275.58</v>
      </c>
      <c r="O378" s="232"/>
      <c r="P378" s="232"/>
      <c r="Q378" s="232"/>
      <c r="R378" s="232"/>
      <c r="S378" s="232"/>
      <c r="T378" s="232"/>
    </row>
    <row r="379" spans="1:20">
      <c r="A379" s="174">
        <v>305</v>
      </c>
      <c r="B379" s="326">
        <v>200</v>
      </c>
      <c r="C379" s="326">
        <v>100</v>
      </c>
      <c r="D379" s="326">
        <v>350</v>
      </c>
      <c r="E379" s="326">
        <v>0</v>
      </c>
      <c r="F379" s="326">
        <v>0</v>
      </c>
      <c r="G379" s="330" t="s">
        <v>2687</v>
      </c>
      <c r="H379" s="330" t="s">
        <v>965</v>
      </c>
      <c r="I379" s="326" t="s">
        <v>966</v>
      </c>
      <c r="J379" s="326"/>
      <c r="K379" s="334">
        <f t="shared" si="5"/>
        <v>353734.55</v>
      </c>
      <c r="L379" s="334">
        <v>353734.55</v>
      </c>
      <c r="M379" s="334"/>
      <c r="N379" s="334">
        <v>441958.45</v>
      </c>
      <c r="O379" s="232"/>
      <c r="P379" s="232"/>
      <c r="Q379" s="232"/>
      <c r="R379" s="232"/>
      <c r="S379" s="232"/>
      <c r="T379" s="232"/>
    </row>
    <row r="380" spans="1:20">
      <c r="A380" s="174">
        <v>305</v>
      </c>
      <c r="B380" s="326">
        <v>200</v>
      </c>
      <c r="C380" s="326">
        <v>100</v>
      </c>
      <c r="D380" s="326">
        <v>400</v>
      </c>
      <c r="E380" s="326">
        <v>0</v>
      </c>
      <c r="F380" s="326">
        <v>0</v>
      </c>
      <c r="G380" s="331" t="s">
        <v>2688</v>
      </c>
      <c r="H380" s="331" t="s">
        <v>967</v>
      </c>
      <c r="I380" s="326" t="s">
        <v>968</v>
      </c>
      <c r="J380" s="325"/>
      <c r="K380" s="335">
        <f t="shared" si="5"/>
        <v>0</v>
      </c>
      <c r="L380" s="335">
        <v>0</v>
      </c>
      <c r="M380" s="335"/>
      <c r="N380" s="335">
        <v>0</v>
      </c>
      <c r="O380" s="232"/>
      <c r="P380" s="232"/>
      <c r="Q380" s="232"/>
      <c r="R380" s="232"/>
      <c r="S380" s="232"/>
      <c r="T380" s="232"/>
    </row>
    <row r="381" spans="1:20">
      <c r="A381" s="174">
        <v>305</v>
      </c>
      <c r="B381" s="326">
        <v>200</v>
      </c>
      <c r="C381" s="326">
        <v>100</v>
      </c>
      <c r="D381" s="326">
        <v>400</v>
      </c>
      <c r="E381" s="326">
        <v>10</v>
      </c>
      <c r="F381" s="326">
        <v>0</v>
      </c>
      <c r="G381" s="330" t="s">
        <v>2689</v>
      </c>
      <c r="H381" s="330" t="s">
        <v>969</v>
      </c>
      <c r="I381" s="326"/>
      <c r="J381" s="326"/>
      <c r="K381" s="341">
        <f t="shared" si="5"/>
        <v>83552.7</v>
      </c>
      <c r="L381" s="341">
        <v>83552.7</v>
      </c>
      <c r="M381" s="341"/>
      <c r="N381" s="341">
        <v>85989.84</v>
      </c>
      <c r="O381" s="232"/>
      <c r="P381" s="232"/>
      <c r="Q381" s="232"/>
      <c r="R381" s="232"/>
      <c r="S381" s="232"/>
      <c r="T381" s="232"/>
    </row>
    <row r="382" spans="1:20">
      <c r="A382" s="174">
        <v>305</v>
      </c>
      <c r="B382" s="326">
        <v>200</v>
      </c>
      <c r="C382" s="326">
        <v>100</v>
      </c>
      <c r="D382" s="326">
        <v>400</v>
      </c>
      <c r="E382" s="326">
        <v>20</v>
      </c>
      <c r="F382" s="326">
        <v>0</v>
      </c>
      <c r="G382" s="330" t="s">
        <v>2690</v>
      </c>
      <c r="H382" s="330" t="s">
        <v>970</v>
      </c>
      <c r="I382" s="326"/>
      <c r="J382" s="326"/>
      <c r="K382" s="341">
        <f t="shared" si="5"/>
        <v>7320</v>
      </c>
      <c r="L382" s="341">
        <v>7320</v>
      </c>
      <c r="M382" s="341"/>
      <c r="N382" s="341">
        <v>7320</v>
      </c>
      <c r="O382" s="232"/>
      <c r="P382" s="232"/>
      <c r="Q382" s="232"/>
      <c r="R382" s="232"/>
      <c r="S382" s="232"/>
      <c r="T382" s="232"/>
    </row>
    <row r="383" spans="1:20">
      <c r="A383" s="174">
        <v>305</v>
      </c>
      <c r="B383" s="326">
        <v>200</v>
      </c>
      <c r="C383" s="326">
        <v>100</v>
      </c>
      <c r="D383" s="326">
        <v>450</v>
      </c>
      <c r="E383" s="326">
        <v>0</v>
      </c>
      <c r="F383" s="326">
        <v>0</v>
      </c>
      <c r="G383" s="330" t="s">
        <v>2691</v>
      </c>
      <c r="H383" s="330" t="s">
        <v>971</v>
      </c>
      <c r="I383" s="326" t="s">
        <v>972</v>
      </c>
      <c r="J383" s="326"/>
      <c r="K383" s="334">
        <f t="shared" si="5"/>
        <v>776536.3</v>
      </c>
      <c r="L383" s="334">
        <v>776536.3</v>
      </c>
      <c r="M383" s="334"/>
      <c r="N383" s="334">
        <v>821973.29</v>
      </c>
      <c r="O383" s="232"/>
      <c r="P383" s="232"/>
      <c r="Q383" s="232"/>
      <c r="R383" s="232"/>
      <c r="S383" s="232"/>
      <c r="T383" s="232"/>
    </row>
    <row r="384" spans="1:20">
      <c r="A384" s="174">
        <v>305</v>
      </c>
      <c r="B384" s="326">
        <v>200</v>
      </c>
      <c r="C384" s="326">
        <v>100</v>
      </c>
      <c r="D384" s="325">
        <v>500</v>
      </c>
      <c r="E384" s="325">
        <v>0</v>
      </c>
      <c r="F384" s="325">
        <v>0</v>
      </c>
      <c r="G384" s="337" t="s">
        <v>2692</v>
      </c>
      <c r="H384" s="337" t="s">
        <v>973</v>
      </c>
      <c r="I384" s="325" t="s">
        <v>974</v>
      </c>
      <c r="J384" s="325"/>
      <c r="K384" s="335">
        <f t="shared" si="5"/>
        <v>0</v>
      </c>
      <c r="L384" s="335">
        <v>0</v>
      </c>
      <c r="M384" s="335"/>
      <c r="N384" s="335">
        <v>0</v>
      </c>
      <c r="O384" s="232"/>
      <c r="P384" s="232"/>
      <c r="Q384" s="232"/>
      <c r="R384" s="232"/>
      <c r="S384" s="232"/>
      <c r="T384" s="232"/>
    </row>
    <row r="385" spans="1:20">
      <c r="A385" s="174">
        <v>305</v>
      </c>
      <c r="B385" s="326">
        <v>200</v>
      </c>
      <c r="C385" s="326">
        <v>100</v>
      </c>
      <c r="D385" s="325">
        <v>500</v>
      </c>
      <c r="E385" s="326">
        <v>10</v>
      </c>
      <c r="F385" s="326">
        <v>0</v>
      </c>
      <c r="G385" s="330" t="s">
        <v>2693</v>
      </c>
      <c r="H385" s="330" t="s">
        <v>975</v>
      </c>
      <c r="I385" s="326"/>
      <c r="J385" s="326"/>
      <c r="K385" s="341">
        <f t="shared" si="5"/>
        <v>289679.69</v>
      </c>
      <c r="L385" s="341">
        <v>289679.69</v>
      </c>
      <c r="M385" s="341"/>
      <c r="N385" s="341">
        <v>281984.89</v>
      </c>
      <c r="O385" s="232"/>
      <c r="P385" s="232"/>
      <c r="Q385" s="232"/>
      <c r="R385" s="232"/>
      <c r="S385" s="232"/>
      <c r="T385" s="232"/>
    </row>
    <row r="386" spans="1:20">
      <c r="A386" s="174">
        <v>305</v>
      </c>
      <c r="B386" s="326">
        <v>200</v>
      </c>
      <c r="C386" s="326">
        <v>100</v>
      </c>
      <c r="D386" s="325">
        <v>500</v>
      </c>
      <c r="E386" s="326">
        <v>20</v>
      </c>
      <c r="F386" s="326">
        <v>0</v>
      </c>
      <c r="G386" s="330" t="s">
        <v>2694</v>
      </c>
      <c r="H386" s="330" t="s">
        <v>976</v>
      </c>
      <c r="I386" s="326"/>
      <c r="J386" s="326"/>
      <c r="K386" s="341">
        <f t="shared" si="5"/>
        <v>0</v>
      </c>
      <c r="L386" s="341">
        <v>0</v>
      </c>
      <c r="M386" s="341"/>
      <c r="N386" s="341">
        <v>0</v>
      </c>
      <c r="O386" s="232"/>
      <c r="P386" s="232"/>
      <c r="Q386" s="232"/>
      <c r="R386" s="232"/>
      <c r="S386" s="232"/>
      <c r="T386" s="232"/>
    </row>
    <row r="387" spans="1:20">
      <c r="A387" s="174">
        <v>305</v>
      </c>
      <c r="B387" s="326">
        <v>200</v>
      </c>
      <c r="C387" s="326">
        <v>100</v>
      </c>
      <c r="D387" s="325">
        <v>500</v>
      </c>
      <c r="E387" s="326">
        <v>30</v>
      </c>
      <c r="F387" s="326">
        <v>0</v>
      </c>
      <c r="G387" s="330" t="s">
        <v>2695</v>
      </c>
      <c r="H387" s="330" t="s">
        <v>977</v>
      </c>
      <c r="I387" s="326"/>
      <c r="J387" s="326"/>
      <c r="K387" s="341">
        <f t="shared" si="5"/>
        <v>407.35</v>
      </c>
      <c r="L387" s="341">
        <v>407.35</v>
      </c>
      <c r="M387" s="341"/>
      <c r="N387" s="341">
        <v>407.35</v>
      </c>
      <c r="O387" s="232"/>
      <c r="P387" s="232"/>
      <c r="Q387" s="232"/>
      <c r="R387" s="232"/>
      <c r="S387" s="232"/>
      <c r="T387" s="232"/>
    </row>
    <row r="388" spans="1:20">
      <c r="A388" s="174">
        <v>305</v>
      </c>
      <c r="B388" s="326">
        <v>200</v>
      </c>
      <c r="C388" s="326">
        <v>100</v>
      </c>
      <c r="D388" s="325">
        <v>500</v>
      </c>
      <c r="E388" s="326">
        <v>40</v>
      </c>
      <c r="F388" s="326">
        <v>0</v>
      </c>
      <c r="G388" s="330" t="s">
        <v>2696</v>
      </c>
      <c r="H388" s="330" t="s">
        <v>978</v>
      </c>
      <c r="I388" s="326"/>
      <c r="J388" s="326"/>
      <c r="K388" s="341">
        <f t="shared" si="5"/>
        <v>0</v>
      </c>
      <c r="L388" s="341">
        <v>0</v>
      </c>
      <c r="M388" s="341"/>
      <c r="N388" s="341">
        <v>0</v>
      </c>
      <c r="O388" s="232"/>
      <c r="P388" s="232"/>
      <c r="Q388" s="232"/>
      <c r="R388" s="232"/>
      <c r="S388" s="232"/>
      <c r="T388" s="232"/>
    </row>
    <row r="389" spans="1:20">
      <c r="A389" s="174">
        <v>305</v>
      </c>
      <c r="B389" s="326">
        <v>200</v>
      </c>
      <c r="C389" s="326">
        <v>100</v>
      </c>
      <c r="D389" s="325">
        <v>500</v>
      </c>
      <c r="E389" s="326">
        <v>50</v>
      </c>
      <c r="F389" s="326">
        <v>0</v>
      </c>
      <c r="G389" s="330" t="s">
        <v>2697</v>
      </c>
      <c r="H389" s="330" t="s">
        <v>973</v>
      </c>
      <c r="I389" s="326"/>
      <c r="J389" s="326"/>
      <c r="K389" s="341">
        <f t="shared" si="5"/>
        <v>0</v>
      </c>
      <c r="L389" s="341">
        <v>0</v>
      </c>
      <c r="M389" s="341"/>
      <c r="N389" s="341">
        <v>0</v>
      </c>
      <c r="O389" s="232"/>
      <c r="P389" s="232"/>
      <c r="Q389" s="232"/>
      <c r="R389" s="232"/>
      <c r="S389" s="232"/>
      <c r="T389" s="232"/>
    </row>
    <row r="390" spans="1:20">
      <c r="A390" s="174">
        <v>305</v>
      </c>
      <c r="B390" s="326">
        <v>200</v>
      </c>
      <c r="C390" s="326">
        <v>100</v>
      </c>
      <c r="D390" s="326">
        <v>550</v>
      </c>
      <c r="E390" s="326">
        <v>0</v>
      </c>
      <c r="F390" s="326">
        <v>0</v>
      </c>
      <c r="G390" s="331" t="s">
        <v>2698</v>
      </c>
      <c r="H390" s="331" t="s">
        <v>979</v>
      </c>
      <c r="I390" s="326" t="s">
        <v>980</v>
      </c>
      <c r="J390" s="325"/>
      <c r="K390" s="335">
        <f t="shared" si="5"/>
        <v>0</v>
      </c>
      <c r="L390" s="335">
        <v>0</v>
      </c>
      <c r="M390" s="335"/>
      <c r="N390" s="335">
        <v>0</v>
      </c>
      <c r="O390" s="232"/>
      <c r="P390" s="232"/>
      <c r="Q390" s="232"/>
      <c r="R390" s="232"/>
      <c r="S390" s="232"/>
      <c r="T390" s="232"/>
    </row>
    <row r="391" spans="1:20">
      <c r="A391" s="174">
        <v>305</v>
      </c>
      <c r="B391" s="326">
        <v>200</v>
      </c>
      <c r="C391" s="326">
        <v>100</v>
      </c>
      <c r="D391" s="326">
        <v>550</v>
      </c>
      <c r="E391" s="326">
        <v>10</v>
      </c>
      <c r="F391" s="326">
        <v>0</v>
      </c>
      <c r="G391" s="330" t="s">
        <v>2699</v>
      </c>
      <c r="H391" s="330" t="s">
        <v>981</v>
      </c>
      <c r="I391" s="326" t="s">
        <v>982</v>
      </c>
      <c r="J391" s="326"/>
      <c r="K391" s="334">
        <f t="shared" ref="K391:K454" si="6">+L391+M391</f>
        <v>0</v>
      </c>
      <c r="L391" s="334">
        <v>0</v>
      </c>
      <c r="M391" s="334"/>
      <c r="N391" s="334">
        <v>0</v>
      </c>
      <c r="O391" s="232"/>
      <c r="P391" s="232"/>
      <c r="Q391" s="232"/>
      <c r="R391" s="232"/>
      <c r="S391" s="232"/>
      <c r="T391" s="232"/>
    </row>
    <row r="392" spans="1:20">
      <c r="A392" s="174">
        <v>305</v>
      </c>
      <c r="B392" s="326">
        <v>200</v>
      </c>
      <c r="C392" s="326">
        <v>100</v>
      </c>
      <c r="D392" s="326">
        <v>550</v>
      </c>
      <c r="E392" s="326">
        <v>20</v>
      </c>
      <c r="F392" s="326">
        <v>0</v>
      </c>
      <c r="G392" s="330" t="s">
        <v>2700</v>
      </c>
      <c r="H392" s="330" t="s">
        <v>983</v>
      </c>
      <c r="I392" s="326" t="s">
        <v>984</v>
      </c>
      <c r="J392" s="326"/>
      <c r="K392" s="334">
        <f t="shared" si="6"/>
        <v>77468.03</v>
      </c>
      <c r="L392" s="334">
        <v>77468.03</v>
      </c>
      <c r="M392" s="334"/>
      <c r="N392" s="334">
        <v>66448.98</v>
      </c>
      <c r="O392" s="232"/>
      <c r="P392" s="232"/>
      <c r="Q392" s="232"/>
      <c r="R392" s="232"/>
      <c r="S392" s="232"/>
      <c r="T392" s="232"/>
    </row>
    <row r="393" spans="1:20">
      <c r="A393" s="174">
        <v>305</v>
      </c>
      <c r="B393" s="326">
        <v>200</v>
      </c>
      <c r="C393" s="326">
        <v>100</v>
      </c>
      <c r="D393" s="326">
        <v>600</v>
      </c>
      <c r="E393" s="326">
        <v>0</v>
      </c>
      <c r="F393" s="326">
        <v>0</v>
      </c>
      <c r="G393" s="331" t="s">
        <v>2701</v>
      </c>
      <c r="H393" s="331" t="s">
        <v>985</v>
      </c>
      <c r="I393" s="326" t="s">
        <v>986</v>
      </c>
      <c r="J393" s="325"/>
      <c r="K393" s="335">
        <f t="shared" si="6"/>
        <v>0</v>
      </c>
      <c r="L393" s="335">
        <v>0</v>
      </c>
      <c r="M393" s="335"/>
      <c r="N393" s="335">
        <v>0</v>
      </c>
      <c r="O393" s="232"/>
      <c r="P393" s="232"/>
      <c r="Q393" s="232"/>
      <c r="R393" s="232"/>
      <c r="S393" s="232"/>
      <c r="T393" s="232"/>
    </row>
    <row r="394" spans="1:20" ht="25.5">
      <c r="A394" s="174">
        <v>305</v>
      </c>
      <c r="B394" s="326">
        <v>200</v>
      </c>
      <c r="C394" s="326">
        <v>100</v>
      </c>
      <c r="D394" s="326">
        <v>600</v>
      </c>
      <c r="E394" s="326">
        <v>10</v>
      </c>
      <c r="F394" s="326">
        <v>0</v>
      </c>
      <c r="G394" s="330" t="s">
        <v>2702</v>
      </c>
      <c r="H394" s="330" t="s">
        <v>987</v>
      </c>
      <c r="I394" s="332" t="s">
        <v>988</v>
      </c>
      <c r="J394" s="332" t="s">
        <v>1530</v>
      </c>
      <c r="K394" s="334">
        <f t="shared" si="6"/>
        <v>447140.41</v>
      </c>
      <c r="L394" s="334">
        <v>447140.41</v>
      </c>
      <c r="M394" s="334"/>
      <c r="N394" s="334">
        <v>246521.57</v>
      </c>
      <c r="O394" s="232"/>
      <c r="P394" s="232"/>
      <c r="Q394" s="232"/>
      <c r="R394" s="232"/>
      <c r="S394" s="232"/>
      <c r="T394" s="232"/>
    </row>
    <row r="395" spans="1:20">
      <c r="A395" s="174">
        <v>305</v>
      </c>
      <c r="B395" s="326">
        <v>200</v>
      </c>
      <c r="C395" s="326">
        <v>100</v>
      </c>
      <c r="D395" s="326">
        <v>600</v>
      </c>
      <c r="E395" s="326">
        <v>20</v>
      </c>
      <c r="F395" s="326">
        <v>0</v>
      </c>
      <c r="G395" s="331" t="s">
        <v>2703</v>
      </c>
      <c r="H395" s="331" t="s">
        <v>989</v>
      </c>
      <c r="I395" s="326" t="s">
        <v>990</v>
      </c>
      <c r="J395" s="325"/>
      <c r="K395" s="335">
        <f t="shared" si="6"/>
        <v>0</v>
      </c>
      <c r="L395" s="335">
        <v>0</v>
      </c>
      <c r="M395" s="335"/>
      <c r="N395" s="335">
        <v>0</v>
      </c>
      <c r="O395" s="232"/>
      <c r="P395" s="232"/>
      <c r="Q395" s="232"/>
      <c r="R395" s="232"/>
      <c r="S395" s="232"/>
      <c r="T395" s="232"/>
    </row>
    <row r="396" spans="1:20">
      <c r="A396" s="174">
        <v>305</v>
      </c>
      <c r="B396" s="326">
        <v>200</v>
      </c>
      <c r="C396" s="326">
        <v>100</v>
      </c>
      <c r="D396" s="326">
        <v>600</v>
      </c>
      <c r="E396" s="326">
        <v>20</v>
      </c>
      <c r="F396" s="326">
        <v>5</v>
      </c>
      <c r="G396" s="330" t="s">
        <v>2704</v>
      </c>
      <c r="H396" s="330" t="s">
        <v>991</v>
      </c>
      <c r="I396" s="326"/>
      <c r="J396" s="326"/>
      <c r="K396" s="341">
        <f t="shared" si="6"/>
        <v>0</v>
      </c>
      <c r="L396" s="341">
        <v>0</v>
      </c>
      <c r="M396" s="341"/>
      <c r="N396" s="341">
        <v>2561.9899999999998</v>
      </c>
      <c r="O396" s="232"/>
      <c r="P396" s="232"/>
      <c r="Q396" s="232"/>
      <c r="R396" s="232"/>
      <c r="S396" s="232"/>
      <c r="T396" s="232"/>
    </row>
    <row r="397" spans="1:20">
      <c r="A397" s="174">
        <v>305</v>
      </c>
      <c r="B397" s="326">
        <v>200</v>
      </c>
      <c r="C397" s="326">
        <v>100</v>
      </c>
      <c r="D397" s="326">
        <v>600</v>
      </c>
      <c r="E397" s="326">
        <v>20</v>
      </c>
      <c r="F397" s="326">
        <v>10</v>
      </c>
      <c r="G397" s="330" t="s">
        <v>2705</v>
      </c>
      <c r="H397" s="330" t="s">
        <v>992</v>
      </c>
      <c r="I397" s="326"/>
      <c r="J397" s="326"/>
      <c r="K397" s="334">
        <f t="shared" si="6"/>
        <v>0</v>
      </c>
      <c r="L397" s="334">
        <v>0</v>
      </c>
      <c r="M397" s="334"/>
      <c r="N397" s="334">
        <v>0</v>
      </c>
      <c r="O397" s="232"/>
      <c r="P397" s="232"/>
      <c r="Q397" s="232"/>
      <c r="R397" s="232"/>
      <c r="S397" s="232"/>
      <c r="T397" s="232"/>
    </row>
    <row r="398" spans="1:20">
      <c r="A398" s="174">
        <v>305</v>
      </c>
      <c r="B398" s="326">
        <v>200</v>
      </c>
      <c r="C398" s="326">
        <v>100</v>
      </c>
      <c r="D398" s="326">
        <v>600</v>
      </c>
      <c r="E398" s="326">
        <v>30</v>
      </c>
      <c r="F398" s="326">
        <v>0</v>
      </c>
      <c r="G398" s="331" t="s">
        <v>2706</v>
      </c>
      <c r="H398" s="331" t="s">
        <v>993</v>
      </c>
      <c r="I398" s="326" t="s">
        <v>994</v>
      </c>
      <c r="J398" s="325"/>
      <c r="K398" s="335">
        <f t="shared" si="6"/>
        <v>0</v>
      </c>
      <c r="L398" s="335">
        <v>0</v>
      </c>
      <c r="M398" s="335"/>
      <c r="N398" s="335">
        <v>0</v>
      </c>
      <c r="O398" s="232"/>
      <c r="P398" s="232"/>
      <c r="Q398" s="232"/>
      <c r="R398" s="232"/>
      <c r="S398" s="232"/>
      <c r="T398" s="232"/>
    </row>
    <row r="399" spans="1:20">
      <c r="A399" s="174">
        <v>305</v>
      </c>
      <c r="B399" s="326">
        <v>200</v>
      </c>
      <c r="C399" s="326">
        <v>100</v>
      </c>
      <c r="D399" s="326">
        <v>600</v>
      </c>
      <c r="E399" s="326">
        <v>30</v>
      </c>
      <c r="F399" s="326">
        <v>5</v>
      </c>
      <c r="G399" s="330" t="s">
        <v>2707</v>
      </c>
      <c r="H399" s="330" t="s">
        <v>995</v>
      </c>
      <c r="I399" s="326"/>
      <c r="J399" s="326"/>
      <c r="K399" s="341">
        <f t="shared" si="6"/>
        <v>354362.19</v>
      </c>
      <c r="L399" s="341">
        <v>354362.19</v>
      </c>
      <c r="M399" s="341"/>
      <c r="N399" s="341">
        <v>299163.90000000002</v>
      </c>
      <c r="O399" s="232"/>
      <c r="P399" s="232"/>
      <c r="Q399" s="232"/>
      <c r="R399" s="232"/>
      <c r="S399" s="232"/>
      <c r="T399" s="232"/>
    </row>
    <row r="400" spans="1:20">
      <c r="A400" s="174">
        <v>305</v>
      </c>
      <c r="B400" s="326">
        <v>200</v>
      </c>
      <c r="C400" s="326">
        <v>100</v>
      </c>
      <c r="D400" s="326">
        <v>600</v>
      </c>
      <c r="E400" s="326">
        <v>30</v>
      </c>
      <c r="F400" s="326">
        <v>10</v>
      </c>
      <c r="G400" s="330" t="s">
        <v>2708</v>
      </c>
      <c r="H400" s="330" t="s">
        <v>996</v>
      </c>
      <c r="I400" s="326"/>
      <c r="J400" s="326"/>
      <c r="K400" s="341">
        <f t="shared" si="6"/>
        <v>28600</v>
      </c>
      <c r="L400" s="341">
        <v>28600</v>
      </c>
      <c r="M400" s="341"/>
      <c r="N400" s="341">
        <v>28600</v>
      </c>
      <c r="O400" s="232"/>
      <c r="P400" s="232"/>
      <c r="Q400" s="232"/>
      <c r="R400" s="232"/>
      <c r="S400" s="232"/>
      <c r="T400" s="232"/>
    </row>
    <row r="401" spans="1:20">
      <c r="A401" s="174">
        <v>305</v>
      </c>
      <c r="B401" s="326">
        <v>200</v>
      </c>
      <c r="C401" s="326">
        <v>100</v>
      </c>
      <c r="D401" s="326">
        <v>600</v>
      </c>
      <c r="E401" s="326">
        <v>30</v>
      </c>
      <c r="F401" s="175">
        <v>15</v>
      </c>
      <c r="G401" s="343" t="s">
        <v>2709</v>
      </c>
      <c r="H401" s="343" t="s">
        <v>997</v>
      </c>
      <c r="I401" s="175"/>
      <c r="J401" s="175"/>
      <c r="K401" s="344">
        <f t="shared" si="6"/>
        <v>21327.95</v>
      </c>
      <c r="L401" s="344">
        <v>21327.95</v>
      </c>
      <c r="M401" s="344"/>
      <c r="N401" s="344">
        <v>19988.45</v>
      </c>
      <c r="O401" s="232"/>
      <c r="P401" s="232"/>
      <c r="Q401" s="232"/>
      <c r="R401" s="232"/>
      <c r="S401" s="232"/>
      <c r="T401" s="232"/>
    </row>
    <row r="402" spans="1:20">
      <c r="A402" s="174">
        <v>305</v>
      </c>
      <c r="B402" s="326">
        <v>200</v>
      </c>
      <c r="C402" s="326">
        <v>100</v>
      </c>
      <c r="D402" s="326">
        <v>600</v>
      </c>
      <c r="E402" s="326">
        <v>30</v>
      </c>
      <c r="F402" s="175">
        <v>20</v>
      </c>
      <c r="G402" s="343" t="s">
        <v>2710</v>
      </c>
      <c r="H402" s="343" t="s">
        <v>998</v>
      </c>
      <c r="I402" s="175"/>
      <c r="J402" s="175"/>
      <c r="K402" s="344">
        <f t="shared" si="6"/>
        <v>0</v>
      </c>
      <c r="L402" s="344">
        <v>0</v>
      </c>
      <c r="M402" s="344"/>
      <c r="N402" s="344">
        <v>0</v>
      </c>
      <c r="O402" s="232"/>
      <c r="P402" s="232"/>
      <c r="Q402" s="232"/>
      <c r="R402" s="232"/>
      <c r="S402" s="232"/>
      <c r="T402" s="232"/>
    </row>
    <row r="403" spans="1:20">
      <c r="A403" s="174">
        <v>305</v>
      </c>
      <c r="B403" s="326">
        <v>200</v>
      </c>
      <c r="C403" s="326">
        <v>100</v>
      </c>
      <c r="D403" s="326">
        <v>600</v>
      </c>
      <c r="E403" s="326">
        <v>30</v>
      </c>
      <c r="F403" s="326">
        <v>25</v>
      </c>
      <c r="G403" s="330" t="s">
        <v>2711</v>
      </c>
      <c r="H403" s="330" t="s">
        <v>999</v>
      </c>
      <c r="I403" s="326"/>
      <c r="J403" s="326"/>
      <c r="K403" s="341">
        <f t="shared" si="6"/>
        <v>0</v>
      </c>
      <c r="L403" s="341">
        <v>0</v>
      </c>
      <c r="M403" s="341"/>
      <c r="N403" s="341">
        <v>0</v>
      </c>
      <c r="O403" s="232"/>
      <c r="P403" s="232"/>
      <c r="Q403" s="232"/>
      <c r="R403" s="232"/>
      <c r="S403" s="232"/>
      <c r="T403" s="232"/>
    </row>
    <row r="404" spans="1:20">
      <c r="A404" s="174">
        <v>305</v>
      </c>
      <c r="B404" s="326">
        <v>200</v>
      </c>
      <c r="C404" s="326">
        <v>100</v>
      </c>
      <c r="D404" s="326">
        <v>600</v>
      </c>
      <c r="E404" s="326">
        <v>30</v>
      </c>
      <c r="F404" s="326">
        <v>30</v>
      </c>
      <c r="G404" s="330" t="s">
        <v>2712</v>
      </c>
      <c r="H404" s="330" t="s">
        <v>1000</v>
      </c>
      <c r="I404" s="326"/>
      <c r="J404" s="326"/>
      <c r="K404" s="341">
        <f t="shared" si="6"/>
        <v>0</v>
      </c>
      <c r="L404" s="341">
        <v>0</v>
      </c>
      <c r="M404" s="341"/>
      <c r="N404" s="341">
        <v>0</v>
      </c>
      <c r="O404" s="232"/>
      <c r="P404" s="232"/>
      <c r="Q404" s="232"/>
      <c r="R404" s="232"/>
      <c r="S404" s="232"/>
      <c r="T404" s="232"/>
    </row>
    <row r="405" spans="1:20">
      <c r="A405" s="174">
        <v>305</v>
      </c>
      <c r="B405" s="326">
        <v>200</v>
      </c>
      <c r="C405" s="326">
        <v>100</v>
      </c>
      <c r="D405" s="326">
        <v>600</v>
      </c>
      <c r="E405" s="326">
        <v>30</v>
      </c>
      <c r="F405" s="326">
        <v>35</v>
      </c>
      <c r="G405" s="330" t="s">
        <v>2713</v>
      </c>
      <c r="H405" s="330" t="s">
        <v>1001</v>
      </c>
      <c r="I405" s="326"/>
      <c r="J405" s="326"/>
      <c r="K405" s="341">
        <f t="shared" si="6"/>
        <v>93716.99</v>
      </c>
      <c r="L405" s="341">
        <v>93716.99</v>
      </c>
      <c r="M405" s="341"/>
      <c r="N405" s="341">
        <v>53044.81</v>
      </c>
      <c r="O405" s="232"/>
      <c r="P405" s="232"/>
      <c r="Q405" s="232"/>
      <c r="R405" s="232"/>
      <c r="S405" s="232"/>
      <c r="T405" s="232"/>
    </row>
    <row r="406" spans="1:20">
      <c r="A406" s="174">
        <v>305</v>
      </c>
      <c r="B406" s="326">
        <v>200</v>
      </c>
      <c r="C406" s="326">
        <v>100</v>
      </c>
      <c r="D406" s="326">
        <v>600</v>
      </c>
      <c r="E406" s="326">
        <v>30</v>
      </c>
      <c r="F406" s="326">
        <v>40</v>
      </c>
      <c r="G406" s="330" t="s">
        <v>2714</v>
      </c>
      <c r="H406" s="330" t="s">
        <v>1002</v>
      </c>
      <c r="I406" s="326"/>
      <c r="J406" s="326"/>
      <c r="K406" s="341">
        <f t="shared" si="6"/>
        <v>244.63</v>
      </c>
      <c r="L406" s="341">
        <v>244.63</v>
      </c>
      <c r="M406" s="341"/>
      <c r="N406" s="341">
        <v>258.60000000000002</v>
      </c>
      <c r="O406" s="232"/>
      <c r="P406" s="232"/>
      <c r="Q406" s="232"/>
      <c r="R406" s="232"/>
      <c r="S406" s="232"/>
      <c r="T406" s="232"/>
    </row>
    <row r="407" spans="1:20">
      <c r="A407" s="174">
        <v>305</v>
      </c>
      <c r="B407" s="326">
        <v>200</v>
      </c>
      <c r="C407" s="326">
        <v>100</v>
      </c>
      <c r="D407" s="326">
        <v>600</v>
      </c>
      <c r="E407" s="326">
        <v>30</v>
      </c>
      <c r="F407" s="326">
        <v>45</v>
      </c>
      <c r="G407" s="330" t="s">
        <v>3457</v>
      </c>
      <c r="H407" s="330" t="s">
        <v>1003</v>
      </c>
      <c r="I407" s="326"/>
      <c r="J407" s="326"/>
      <c r="K407" s="341">
        <f t="shared" si="6"/>
        <v>128</v>
      </c>
      <c r="L407" s="341">
        <v>128</v>
      </c>
      <c r="M407" s="341"/>
      <c r="N407" s="341">
        <v>218</v>
      </c>
      <c r="O407" s="232"/>
      <c r="P407" s="232"/>
      <c r="Q407" s="232"/>
      <c r="R407" s="232"/>
      <c r="S407" s="232"/>
      <c r="T407" s="232"/>
    </row>
    <row r="408" spans="1:20">
      <c r="A408" s="174">
        <v>305</v>
      </c>
      <c r="B408" s="326">
        <v>200</v>
      </c>
      <c r="C408" s="326">
        <v>100</v>
      </c>
      <c r="D408" s="326">
        <v>600</v>
      </c>
      <c r="E408" s="326">
        <v>30</v>
      </c>
      <c r="F408" s="326">
        <v>50</v>
      </c>
      <c r="G408" s="330" t="s">
        <v>3458</v>
      </c>
      <c r="H408" s="330" t="s">
        <v>1004</v>
      </c>
      <c r="I408" s="326"/>
      <c r="J408" s="326"/>
      <c r="K408" s="341">
        <f t="shared" si="6"/>
        <v>490432.41</v>
      </c>
      <c r="L408" s="341">
        <v>490432.41</v>
      </c>
      <c r="M408" s="341"/>
      <c r="N408" s="341">
        <v>405843.75</v>
      </c>
      <c r="O408" s="232"/>
      <c r="P408" s="232"/>
      <c r="Q408" s="232"/>
      <c r="R408" s="232"/>
      <c r="S408" s="232"/>
      <c r="T408" s="232"/>
    </row>
    <row r="409" spans="1:20">
      <c r="A409" s="174">
        <v>305</v>
      </c>
      <c r="B409" s="326">
        <v>200</v>
      </c>
      <c r="C409" s="326">
        <v>100</v>
      </c>
      <c r="D409" s="326">
        <v>600</v>
      </c>
      <c r="E409" s="326">
        <v>30</v>
      </c>
      <c r="F409" s="326">
        <v>55</v>
      </c>
      <c r="G409" s="330" t="s">
        <v>2715</v>
      </c>
      <c r="H409" s="330" t="s">
        <v>1005</v>
      </c>
      <c r="I409" s="326"/>
      <c r="J409" s="326"/>
      <c r="K409" s="341">
        <f t="shared" si="6"/>
        <v>10707.65</v>
      </c>
      <c r="L409" s="341">
        <v>10707.65</v>
      </c>
      <c r="M409" s="341"/>
      <c r="N409" s="341">
        <v>8277.23</v>
      </c>
      <c r="O409" s="232"/>
      <c r="P409" s="232"/>
      <c r="Q409" s="232"/>
      <c r="R409" s="232"/>
      <c r="S409" s="232"/>
      <c r="T409" s="232"/>
    </row>
    <row r="410" spans="1:20">
      <c r="A410" s="174">
        <v>305</v>
      </c>
      <c r="B410" s="326">
        <v>200</v>
      </c>
      <c r="C410" s="326">
        <v>100</v>
      </c>
      <c r="D410" s="326">
        <v>600</v>
      </c>
      <c r="E410" s="326">
        <v>30</v>
      </c>
      <c r="F410" s="326">
        <v>60</v>
      </c>
      <c r="G410" s="330" t="s">
        <v>2716</v>
      </c>
      <c r="H410" s="330" t="s">
        <v>1006</v>
      </c>
      <c r="I410" s="326"/>
      <c r="J410" s="326"/>
      <c r="K410" s="341">
        <f t="shared" si="6"/>
        <v>0</v>
      </c>
      <c r="L410" s="341">
        <v>0</v>
      </c>
      <c r="M410" s="341"/>
      <c r="N410" s="341">
        <v>0</v>
      </c>
      <c r="O410" s="232"/>
      <c r="P410" s="232"/>
      <c r="Q410" s="232"/>
      <c r="R410" s="232"/>
      <c r="S410" s="232"/>
      <c r="T410" s="232"/>
    </row>
    <row r="411" spans="1:20">
      <c r="A411" s="174">
        <v>305</v>
      </c>
      <c r="B411" s="326">
        <v>200</v>
      </c>
      <c r="C411" s="326">
        <v>100</v>
      </c>
      <c r="D411" s="326">
        <v>600</v>
      </c>
      <c r="E411" s="326">
        <v>30</v>
      </c>
      <c r="F411" s="326">
        <v>65</v>
      </c>
      <c r="G411" s="330" t="s">
        <v>2717</v>
      </c>
      <c r="H411" s="330" t="s">
        <v>1007</v>
      </c>
      <c r="I411" s="326"/>
      <c r="J411" s="326"/>
      <c r="K411" s="341">
        <f t="shared" si="6"/>
        <v>141883.16</v>
      </c>
      <c r="L411" s="341">
        <v>141883.16</v>
      </c>
      <c r="M411" s="341"/>
      <c r="N411" s="341">
        <v>143270.41</v>
      </c>
      <c r="O411" s="232"/>
      <c r="P411" s="232"/>
      <c r="Q411" s="232"/>
      <c r="R411" s="232"/>
      <c r="S411" s="232"/>
      <c r="T411" s="232"/>
    </row>
    <row r="412" spans="1:20">
      <c r="A412" s="174">
        <v>305</v>
      </c>
      <c r="B412" s="326">
        <v>200</v>
      </c>
      <c r="C412" s="326">
        <v>100</v>
      </c>
      <c r="D412" s="326">
        <v>600</v>
      </c>
      <c r="E412" s="326">
        <v>30</v>
      </c>
      <c r="F412" s="326">
        <v>80</v>
      </c>
      <c r="G412" s="330" t="s">
        <v>2718</v>
      </c>
      <c r="H412" s="330" t="s">
        <v>1008</v>
      </c>
      <c r="I412" s="326"/>
      <c r="J412" s="326"/>
      <c r="K412" s="334">
        <f t="shared" si="6"/>
        <v>0</v>
      </c>
      <c r="L412" s="334">
        <v>0</v>
      </c>
      <c r="M412" s="334"/>
      <c r="N412" s="334">
        <v>0</v>
      </c>
      <c r="O412" s="232"/>
      <c r="P412" s="232"/>
      <c r="Q412" s="232"/>
      <c r="R412" s="232"/>
      <c r="S412" s="232"/>
      <c r="T412" s="232"/>
    </row>
    <row r="413" spans="1:20">
      <c r="A413" s="174">
        <v>305</v>
      </c>
      <c r="B413" s="326">
        <v>200</v>
      </c>
      <c r="C413" s="326">
        <v>100</v>
      </c>
      <c r="D413" s="326">
        <v>600</v>
      </c>
      <c r="E413" s="326">
        <v>30</v>
      </c>
      <c r="F413" s="326">
        <v>90</v>
      </c>
      <c r="G413" s="330" t="s">
        <v>2719</v>
      </c>
      <c r="H413" s="330" t="s">
        <v>993</v>
      </c>
      <c r="I413" s="326"/>
      <c r="J413" s="326"/>
      <c r="K413" s="341">
        <f t="shared" si="6"/>
        <v>2483151.98</v>
      </c>
      <c r="L413" s="341">
        <v>2483151.98</v>
      </c>
      <c r="M413" s="341"/>
      <c r="N413" s="341">
        <v>2119358.0400000005</v>
      </c>
      <c r="O413" s="232"/>
      <c r="P413" s="232"/>
      <c r="Q413" s="232"/>
      <c r="R413" s="232"/>
      <c r="S413" s="232"/>
      <c r="T413" s="232"/>
    </row>
    <row r="414" spans="1:20" ht="25.5">
      <c r="A414" s="174">
        <v>305</v>
      </c>
      <c r="B414" s="326">
        <v>200</v>
      </c>
      <c r="C414" s="326">
        <v>200</v>
      </c>
      <c r="D414" s="326">
        <v>0</v>
      </c>
      <c r="E414" s="326">
        <v>0</v>
      </c>
      <c r="F414" s="326">
        <v>0</v>
      </c>
      <c r="G414" s="331" t="s">
        <v>2720</v>
      </c>
      <c r="H414" s="331" t="s">
        <v>1009</v>
      </c>
      <c r="I414" s="332" t="s">
        <v>1010</v>
      </c>
      <c r="J414" s="333"/>
      <c r="K414" s="335">
        <f t="shared" si="6"/>
        <v>0</v>
      </c>
      <c r="L414" s="335">
        <v>0</v>
      </c>
      <c r="M414" s="335"/>
      <c r="N414" s="335">
        <v>0</v>
      </c>
      <c r="O414" s="232"/>
      <c r="P414" s="232"/>
      <c r="Q414" s="232"/>
      <c r="R414" s="232"/>
      <c r="S414" s="232"/>
      <c r="T414" s="232"/>
    </row>
    <row r="415" spans="1:20" ht="25.5">
      <c r="A415" s="174">
        <v>305</v>
      </c>
      <c r="B415" s="326">
        <v>200</v>
      </c>
      <c r="C415" s="326">
        <v>200</v>
      </c>
      <c r="D415" s="326">
        <v>100</v>
      </c>
      <c r="E415" s="326">
        <v>0</v>
      </c>
      <c r="F415" s="326">
        <v>0</v>
      </c>
      <c r="G415" s="330" t="s">
        <v>2721</v>
      </c>
      <c r="H415" s="330" t="s">
        <v>1011</v>
      </c>
      <c r="I415" s="332" t="s">
        <v>1012</v>
      </c>
      <c r="J415" s="332" t="s">
        <v>1530</v>
      </c>
      <c r="K415" s="334">
        <f t="shared" si="6"/>
        <v>8009.05</v>
      </c>
      <c r="L415" s="334">
        <v>8009.05</v>
      </c>
      <c r="M415" s="334"/>
      <c r="N415" s="334">
        <v>11980.87</v>
      </c>
      <c r="O415" s="232"/>
      <c r="P415" s="232"/>
      <c r="Q415" s="232"/>
      <c r="R415" s="232"/>
      <c r="S415" s="232"/>
      <c r="T415" s="232"/>
    </row>
    <row r="416" spans="1:20" ht="25.5">
      <c r="A416" s="174">
        <v>305</v>
      </c>
      <c r="B416" s="326">
        <v>200</v>
      </c>
      <c r="C416" s="326">
        <v>200</v>
      </c>
      <c r="D416" s="326">
        <v>200</v>
      </c>
      <c r="E416" s="326">
        <v>0</v>
      </c>
      <c r="F416" s="326">
        <v>0</v>
      </c>
      <c r="G416" s="330" t="s">
        <v>2722</v>
      </c>
      <c r="H416" s="330" t="s">
        <v>1013</v>
      </c>
      <c r="I416" s="326" t="s">
        <v>1014</v>
      </c>
      <c r="J416" s="326"/>
      <c r="K416" s="334">
        <f t="shared" si="6"/>
        <v>0</v>
      </c>
      <c r="L416" s="334">
        <v>0</v>
      </c>
      <c r="M416" s="334"/>
      <c r="N416" s="334">
        <v>0</v>
      </c>
      <c r="O416" s="232"/>
      <c r="P416" s="232"/>
      <c r="Q416" s="232"/>
      <c r="R416" s="232"/>
      <c r="S416" s="232"/>
      <c r="T416" s="232"/>
    </row>
    <row r="417" spans="1:20" ht="25.5">
      <c r="A417" s="174">
        <v>305</v>
      </c>
      <c r="B417" s="326">
        <v>200</v>
      </c>
      <c r="C417" s="326">
        <v>200</v>
      </c>
      <c r="D417" s="326">
        <v>300</v>
      </c>
      <c r="E417" s="326">
        <v>0</v>
      </c>
      <c r="F417" s="326">
        <v>0</v>
      </c>
      <c r="G417" s="331" t="s">
        <v>2723</v>
      </c>
      <c r="H417" s="331" t="s">
        <v>1015</v>
      </c>
      <c r="I417" s="326" t="s">
        <v>1016</v>
      </c>
      <c r="J417" s="325"/>
      <c r="K417" s="335">
        <f t="shared" si="6"/>
        <v>0</v>
      </c>
      <c r="L417" s="335">
        <v>0</v>
      </c>
      <c r="M417" s="335"/>
      <c r="N417" s="335">
        <v>0</v>
      </c>
      <c r="O417" s="232"/>
      <c r="P417" s="232"/>
      <c r="Q417" s="232"/>
      <c r="R417" s="232"/>
      <c r="S417" s="232"/>
      <c r="T417" s="232"/>
    </row>
    <row r="418" spans="1:20">
      <c r="A418" s="174">
        <v>305</v>
      </c>
      <c r="B418" s="326">
        <v>200</v>
      </c>
      <c r="C418" s="326">
        <v>200</v>
      </c>
      <c r="D418" s="326">
        <v>300</v>
      </c>
      <c r="E418" s="326">
        <v>10</v>
      </c>
      <c r="F418" s="326">
        <v>0</v>
      </c>
      <c r="G418" s="331" t="s">
        <v>2724</v>
      </c>
      <c r="H418" s="331" t="s">
        <v>1017</v>
      </c>
      <c r="I418" s="326" t="s">
        <v>1018</v>
      </c>
      <c r="J418" s="325"/>
      <c r="K418" s="335">
        <f t="shared" si="6"/>
        <v>0</v>
      </c>
      <c r="L418" s="335">
        <v>0</v>
      </c>
      <c r="M418" s="335"/>
      <c r="N418" s="335">
        <v>0</v>
      </c>
      <c r="O418" s="232"/>
      <c r="P418" s="232"/>
      <c r="Q418" s="232"/>
      <c r="R418" s="232"/>
      <c r="S418" s="232"/>
      <c r="T418" s="232"/>
    </row>
    <row r="419" spans="1:20">
      <c r="A419" s="174">
        <v>305</v>
      </c>
      <c r="B419" s="326">
        <v>200</v>
      </c>
      <c r="C419" s="326">
        <v>200</v>
      </c>
      <c r="D419" s="326">
        <v>300</v>
      </c>
      <c r="E419" s="326">
        <v>10</v>
      </c>
      <c r="F419" s="326">
        <v>5</v>
      </c>
      <c r="G419" s="330" t="s">
        <v>2725</v>
      </c>
      <c r="H419" s="330" t="s">
        <v>1019</v>
      </c>
      <c r="I419" s="326"/>
      <c r="J419" s="326"/>
      <c r="K419" s="341">
        <f t="shared" si="6"/>
        <v>7947.19</v>
      </c>
      <c r="L419" s="341">
        <v>7947.19</v>
      </c>
      <c r="M419" s="341"/>
      <c r="N419" s="341">
        <v>8664.41</v>
      </c>
      <c r="O419" s="232"/>
      <c r="P419" s="232"/>
      <c r="Q419" s="232"/>
      <c r="R419" s="232"/>
      <c r="S419" s="232"/>
      <c r="T419" s="232"/>
    </row>
    <row r="420" spans="1:20">
      <c r="A420" s="174">
        <v>305</v>
      </c>
      <c r="B420" s="326">
        <v>200</v>
      </c>
      <c r="C420" s="326">
        <v>200</v>
      </c>
      <c r="D420" s="326">
        <v>300</v>
      </c>
      <c r="E420" s="326">
        <v>10</v>
      </c>
      <c r="F420" s="326">
        <v>10</v>
      </c>
      <c r="G420" s="330" t="s">
        <v>2726</v>
      </c>
      <c r="H420" s="330" t="s">
        <v>1020</v>
      </c>
      <c r="I420" s="326"/>
      <c r="J420" s="326"/>
      <c r="K420" s="341">
        <f t="shared" si="6"/>
        <v>0</v>
      </c>
      <c r="L420" s="341">
        <v>0</v>
      </c>
      <c r="M420" s="341"/>
      <c r="N420" s="341">
        <v>0</v>
      </c>
      <c r="O420" s="232"/>
      <c r="P420" s="232"/>
      <c r="Q420" s="232"/>
      <c r="R420" s="232"/>
      <c r="S420" s="232"/>
      <c r="T420" s="232"/>
    </row>
    <row r="421" spans="1:20">
      <c r="A421" s="174">
        <v>305</v>
      </c>
      <c r="B421" s="326">
        <v>200</v>
      </c>
      <c r="C421" s="326">
        <v>200</v>
      </c>
      <c r="D421" s="326">
        <v>300</v>
      </c>
      <c r="E421" s="326">
        <v>10</v>
      </c>
      <c r="F421" s="326">
        <v>15</v>
      </c>
      <c r="G421" s="330" t="s">
        <v>2727</v>
      </c>
      <c r="H421" s="330" t="s">
        <v>1021</v>
      </c>
      <c r="I421" s="326"/>
      <c r="J421" s="326"/>
      <c r="K421" s="341">
        <f t="shared" si="6"/>
        <v>0</v>
      </c>
      <c r="L421" s="341">
        <v>0</v>
      </c>
      <c r="M421" s="341"/>
      <c r="N421" s="341">
        <v>0</v>
      </c>
      <c r="O421" s="232"/>
      <c r="P421" s="232"/>
      <c r="Q421" s="232"/>
      <c r="R421" s="232"/>
      <c r="S421" s="232"/>
      <c r="T421" s="232"/>
    </row>
    <row r="422" spans="1:20">
      <c r="A422" s="174">
        <v>305</v>
      </c>
      <c r="B422" s="326">
        <v>200</v>
      </c>
      <c r="C422" s="326">
        <v>200</v>
      </c>
      <c r="D422" s="326">
        <v>300</v>
      </c>
      <c r="E422" s="326">
        <v>10</v>
      </c>
      <c r="F422" s="326">
        <v>20</v>
      </c>
      <c r="G422" s="330" t="s">
        <v>2728</v>
      </c>
      <c r="H422" s="330" t="s">
        <v>1022</v>
      </c>
      <c r="I422" s="326"/>
      <c r="J422" s="326"/>
      <c r="K422" s="341">
        <f t="shared" si="6"/>
        <v>0</v>
      </c>
      <c r="L422" s="341">
        <v>0</v>
      </c>
      <c r="M422" s="341"/>
      <c r="N422" s="341">
        <v>0</v>
      </c>
      <c r="O422" s="232"/>
      <c r="P422" s="232"/>
      <c r="Q422" s="232"/>
      <c r="R422" s="232"/>
      <c r="S422" s="232"/>
      <c r="T422" s="232"/>
    </row>
    <row r="423" spans="1:20">
      <c r="A423" s="174">
        <v>305</v>
      </c>
      <c r="B423" s="326">
        <v>200</v>
      </c>
      <c r="C423" s="326">
        <v>200</v>
      </c>
      <c r="D423" s="326">
        <v>300</v>
      </c>
      <c r="E423" s="326">
        <v>10</v>
      </c>
      <c r="F423" s="326">
        <v>90</v>
      </c>
      <c r="G423" s="330" t="s">
        <v>2729</v>
      </c>
      <c r="H423" s="330" t="s">
        <v>1023</v>
      </c>
      <c r="I423" s="326"/>
      <c r="J423" s="326"/>
      <c r="K423" s="341">
        <f t="shared" si="6"/>
        <v>0</v>
      </c>
      <c r="L423" s="341">
        <v>0</v>
      </c>
      <c r="M423" s="341"/>
      <c r="N423" s="341">
        <v>0</v>
      </c>
      <c r="O423" s="232"/>
      <c r="P423" s="232"/>
      <c r="Q423" s="232"/>
      <c r="R423" s="232"/>
      <c r="S423" s="232"/>
      <c r="T423" s="232"/>
    </row>
    <row r="424" spans="1:20" ht="25.5">
      <c r="A424" s="174">
        <v>305</v>
      </c>
      <c r="B424" s="326">
        <v>200</v>
      </c>
      <c r="C424" s="326">
        <v>200</v>
      </c>
      <c r="D424" s="326">
        <v>300</v>
      </c>
      <c r="E424" s="326">
        <v>20</v>
      </c>
      <c r="F424" s="326">
        <v>0</v>
      </c>
      <c r="G424" s="330" t="s">
        <v>2730</v>
      </c>
      <c r="H424" s="330" t="s">
        <v>1024</v>
      </c>
      <c r="I424" s="326" t="s">
        <v>1025</v>
      </c>
      <c r="J424" s="326"/>
      <c r="K424" s="334">
        <f t="shared" si="6"/>
        <v>0</v>
      </c>
      <c r="L424" s="334">
        <v>0</v>
      </c>
      <c r="M424" s="334"/>
      <c r="N424" s="334">
        <v>0</v>
      </c>
      <c r="O424" s="232"/>
      <c r="P424" s="232"/>
      <c r="Q424" s="232"/>
      <c r="R424" s="232"/>
      <c r="S424" s="232"/>
      <c r="T424" s="232"/>
    </row>
    <row r="425" spans="1:20" ht="25.5">
      <c r="A425" s="174">
        <v>305</v>
      </c>
      <c r="B425" s="326">
        <v>200</v>
      </c>
      <c r="C425" s="326">
        <v>200</v>
      </c>
      <c r="D425" s="326">
        <v>300</v>
      </c>
      <c r="E425" s="326">
        <v>30</v>
      </c>
      <c r="F425" s="326">
        <v>0</v>
      </c>
      <c r="G425" s="330" t="s">
        <v>2731</v>
      </c>
      <c r="H425" s="330" t="s">
        <v>1026</v>
      </c>
      <c r="I425" s="326" t="s">
        <v>1027</v>
      </c>
      <c r="J425" s="326"/>
      <c r="K425" s="334">
        <f t="shared" si="6"/>
        <v>0</v>
      </c>
      <c r="L425" s="334">
        <v>0</v>
      </c>
      <c r="M425" s="334"/>
      <c r="N425" s="334">
        <v>0</v>
      </c>
      <c r="O425" s="232"/>
      <c r="P425" s="232"/>
      <c r="Q425" s="232"/>
      <c r="R425" s="232"/>
      <c r="S425" s="232"/>
      <c r="T425" s="232"/>
    </row>
    <row r="426" spans="1:20">
      <c r="A426" s="174">
        <v>305</v>
      </c>
      <c r="B426" s="326">
        <v>200</v>
      </c>
      <c r="C426" s="326">
        <v>200</v>
      </c>
      <c r="D426" s="326">
        <v>300</v>
      </c>
      <c r="E426" s="326">
        <v>40</v>
      </c>
      <c r="F426" s="326">
        <v>0</v>
      </c>
      <c r="G426" s="330" t="s">
        <v>2732</v>
      </c>
      <c r="H426" s="330" t="s">
        <v>1028</v>
      </c>
      <c r="I426" s="326" t="s">
        <v>1029</v>
      </c>
      <c r="J426" s="326"/>
      <c r="K426" s="334">
        <f t="shared" si="6"/>
        <v>229028.51999999996</v>
      </c>
      <c r="L426" s="334">
        <v>229028.51999999996</v>
      </c>
      <c r="M426" s="334"/>
      <c r="N426" s="334">
        <v>278211.52</v>
      </c>
      <c r="O426" s="232"/>
      <c r="P426" s="232"/>
      <c r="Q426" s="232"/>
      <c r="R426" s="232"/>
      <c r="S426" s="232"/>
      <c r="T426" s="232"/>
    </row>
    <row r="427" spans="1:20" ht="25.5">
      <c r="A427" s="174">
        <v>305</v>
      </c>
      <c r="B427" s="326">
        <v>200</v>
      </c>
      <c r="C427" s="326">
        <v>200</v>
      </c>
      <c r="D427" s="326">
        <v>300</v>
      </c>
      <c r="E427" s="326">
        <v>50</v>
      </c>
      <c r="F427" s="326">
        <v>0</v>
      </c>
      <c r="G427" s="331" t="s">
        <v>2733</v>
      </c>
      <c r="H427" s="331" t="s">
        <v>1030</v>
      </c>
      <c r="I427" s="326" t="s">
        <v>1031</v>
      </c>
      <c r="J427" s="325"/>
      <c r="K427" s="335">
        <f t="shared" si="6"/>
        <v>0</v>
      </c>
      <c r="L427" s="335">
        <v>0</v>
      </c>
      <c r="M427" s="335"/>
      <c r="N427" s="335">
        <v>0</v>
      </c>
      <c r="O427" s="232"/>
      <c r="P427" s="232"/>
      <c r="Q427" s="232"/>
      <c r="R427" s="232"/>
      <c r="S427" s="232"/>
      <c r="T427" s="232"/>
    </row>
    <row r="428" spans="1:20">
      <c r="A428" s="174">
        <v>305</v>
      </c>
      <c r="B428" s="326">
        <v>200</v>
      </c>
      <c r="C428" s="326">
        <v>200</v>
      </c>
      <c r="D428" s="326">
        <v>300</v>
      </c>
      <c r="E428" s="326">
        <v>50</v>
      </c>
      <c r="F428" s="326">
        <v>10</v>
      </c>
      <c r="G428" s="330" t="s">
        <v>2734</v>
      </c>
      <c r="H428" s="330" t="s">
        <v>1032</v>
      </c>
      <c r="I428" s="326"/>
      <c r="J428" s="326"/>
      <c r="K428" s="341">
        <f t="shared" si="6"/>
        <v>0</v>
      </c>
      <c r="L428" s="341">
        <v>0</v>
      </c>
      <c r="M428" s="341"/>
      <c r="N428" s="341">
        <v>0</v>
      </c>
      <c r="O428" s="232"/>
      <c r="P428" s="232"/>
      <c r="Q428" s="232"/>
      <c r="R428" s="232"/>
      <c r="S428" s="232"/>
      <c r="T428" s="232"/>
    </row>
    <row r="429" spans="1:20" ht="25.5">
      <c r="A429" s="174">
        <v>305</v>
      </c>
      <c r="B429" s="326">
        <v>200</v>
      </c>
      <c r="C429" s="326">
        <v>200</v>
      </c>
      <c r="D429" s="326">
        <v>300</v>
      </c>
      <c r="E429" s="326">
        <v>50</v>
      </c>
      <c r="F429" s="326">
        <v>20</v>
      </c>
      <c r="G429" s="330" t="s">
        <v>2735</v>
      </c>
      <c r="H429" s="330" t="s">
        <v>1033</v>
      </c>
      <c r="I429" s="326"/>
      <c r="J429" s="326"/>
      <c r="K429" s="341">
        <f t="shared" si="6"/>
        <v>25698.73</v>
      </c>
      <c r="L429" s="341">
        <v>25698.73</v>
      </c>
      <c r="M429" s="341"/>
      <c r="N429" s="341">
        <v>26948.74</v>
      </c>
      <c r="O429" s="232"/>
      <c r="P429" s="232"/>
      <c r="Q429" s="232"/>
      <c r="R429" s="232"/>
      <c r="S429" s="232"/>
      <c r="T429" s="232"/>
    </row>
    <row r="430" spans="1:20">
      <c r="A430" s="174">
        <v>305</v>
      </c>
      <c r="B430" s="326">
        <v>200</v>
      </c>
      <c r="C430" s="326">
        <v>200</v>
      </c>
      <c r="D430" s="326">
        <v>300</v>
      </c>
      <c r="E430" s="326">
        <v>50</v>
      </c>
      <c r="F430" s="326">
        <v>30</v>
      </c>
      <c r="G430" s="330" t="s">
        <v>2736</v>
      </c>
      <c r="H430" s="330" t="s">
        <v>1034</v>
      </c>
      <c r="I430" s="326"/>
      <c r="J430" s="326"/>
      <c r="K430" s="341">
        <f t="shared" si="6"/>
        <v>0</v>
      </c>
      <c r="L430" s="341">
        <v>0</v>
      </c>
      <c r="M430" s="341"/>
      <c r="N430" s="341">
        <v>0</v>
      </c>
      <c r="O430" s="232"/>
      <c r="P430" s="232"/>
      <c r="Q430" s="232"/>
      <c r="R430" s="232"/>
      <c r="S430" s="232"/>
      <c r="T430" s="232"/>
    </row>
    <row r="431" spans="1:20">
      <c r="A431" s="174">
        <v>305</v>
      </c>
      <c r="B431" s="326">
        <v>200</v>
      </c>
      <c r="C431" s="326">
        <v>200</v>
      </c>
      <c r="D431" s="326">
        <v>300</v>
      </c>
      <c r="E431" s="326">
        <v>50</v>
      </c>
      <c r="F431" s="326">
        <v>40</v>
      </c>
      <c r="G431" s="330" t="s">
        <v>2737</v>
      </c>
      <c r="H431" s="330" t="s">
        <v>1035</v>
      </c>
      <c r="I431" s="326"/>
      <c r="J431" s="326"/>
      <c r="K431" s="341">
        <f t="shared" si="6"/>
        <v>6767.5</v>
      </c>
      <c r="L431" s="341">
        <v>6767.5</v>
      </c>
      <c r="M431" s="341"/>
      <c r="N431" s="341">
        <v>2847.5</v>
      </c>
      <c r="O431" s="232"/>
      <c r="P431" s="232"/>
      <c r="Q431" s="232"/>
      <c r="R431" s="232"/>
      <c r="S431" s="232"/>
      <c r="T431" s="232"/>
    </row>
    <row r="432" spans="1:20" ht="25.5">
      <c r="A432" s="174">
        <v>305</v>
      </c>
      <c r="B432" s="326">
        <v>200</v>
      </c>
      <c r="C432" s="326">
        <v>200</v>
      </c>
      <c r="D432" s="326">
        <v>300</v>
      </c>
      <c r="E432" s="326">
        <v>50</v>
      </c>
      <c r="F432" s="326">
        <v>90</v>
      </c>
      <c r="G432" s="330" t="s">
        <v>2738</v>
      </c>
      <c r="H432" s="330" t="s">
        <v>1030</v>
      </c>
      <c r="I432" s="326"/>
      <c r="J432" s="326"/>
      <c r="K432" s="341">
        <f t="shared" si="6"/>
        <v>0</v>
      </c>
      <c r="L432" s="341">
        <v>0</v>
      </c>
      <c r="M432" s="341"/>
      <c r="N432" s="341">
        <v>0</v>
      </c>
      <c r="O432" s="232"/>
      <c r="P432" s="232"/>
      <c r="Q432" s="232"/>
      <c r="R432" s="232"/>
      <c r="S432" s="232"/>
      <c r="T432" s="232"/>
    </row>
    <row r="433" spans="1:20" ht="51">
      <c r="A433" s="174">
        <v>305</v>
      </c>
      <c r="B433" s="326">
        <v>200</v>
      </c>
      <c r="C433" s="326">
        <v>200</v>
      </c>
      <c r="D433" s="326">
        <v>300</v>
      </c>
      <c r="E433" s="326">
        <v>60</v>
      </c>
      <c r="F433" s="326">
        <v>0</v>
      </c>
      <c r="G433" s="330" t="s">
        <v>2739</v>
      </c>
      <c r="H433" s="330" t="s">
        <v>1036</v>
      </c>
      <c r="I433" s="326" t="s">
        <v>1037</v>
      </c>
      <c r="J433" s="326"/>
      <c r="K433" s="341">
        <f t="shared" si="6"/>
        <v>0</v>
      </c>
      <c r="L433" s="341">
        <v>0</v>
      </c>
      <c r="M433" s="341"/>
      <c r="N433" s="341">
        <v>0</v>
      </c>
      <c r="O433" s="232"/>
      <c r="P433" s="232"/>
      <c r="Q433" s="232"/>
      <c r="R433" s="232"/>
      <c r="S433" s="232"/>
      <c r="T433" s="232"/>
    </row>
    <row r="434" spans="1:20" ht="25.5">
      <c r="A434" s="174">
        <v>305</v>
      </c>
      <c r="B434" s="326">
        <v>200</v>
      </c>
      <c r="C434" s="326">
        <v>200</v>
      </c>
      <c r="D434" s="326">
        <v>400</v>
      </c>
      <c r="E434" s="326">
        <v>0</v>
      </c>
      <c r="F434" s="326">
        <v>0</v>
      </c>
      <c r="G434" s="331" t="s">
        <v>2740</v>
      </c>
      <c r="H434" s="331" t="s">
        <v>1038</v>
      </c>
      <c r="I434" s="332" t="s">
        <v>1039</v>
      </c>
      <c r="J434" s="333"/>
      <c r="K434" s="335">
        <f t="shared" si="6"/>
        <v>0</v>
      </c>
      <c r="L434" s="335">
        <v>0</v>
      </c>
      <c r="M434" s="335"/>
      <c r="N434" s="335">
        <v>0</v>
      </c>
      <c r="O434" s="232"/>
      <c r="P434" s="232"/>
      <c r="Q434" s="232"/>
      <c r="R434" s="232"/>
      <c r="S434" s="232"/>
      <c r="T434" s="232"/>
    </row>
    <row r="435" spans="1:20" ht="38.25">
      <c r="A435" s="174">
        <v>305</v>
      </c>
      <c r="B435" s="326">
        <v>200</v>
      </c>
      <c r="C435" s="326">
        <v>200</v>
      </c>
      <c r="D435" s="326">
        <v>400</v>
      </c>
      <c r="E435" s="326">
        <v>10</v>
      </c>
      <c r="F435" s="326">
        <v>0</v>
      </c>
      <c r="G435" s="330" t="s">
        <v>2741</v>
      </c>
      <c r="H435" s="330" t="s">
        <v>1040</v>
      </c>
      <c r="I435" s="332" t="s">
        <v>1041</v>
      </c>
      <c r="J435" s="332" t="s">
        <v>1530</v>
      </c>
      <c r="K435" s="334">
        <f t="shared" si="6"/>
        <v>0</v>
      </c>
      <c r="L435" s="334">
        <v>0</v>
      </c>
      <c r="M435" s="334"/>
      <c r="N435" s="334">
        <v>0</v>
      </c>
      <c r="O435" s="232"/>
      <c r="P435" s="232"/>
      <c r="Q435" s="232"/>
      <c r="R435" s="232"/>
      <c r="S435" s="232"/>
      <c r="T435" s="232"/>
    </row>
    <row r="436" spans="1:20" ht="25.5">
      <c r="A436" s="174">
        <v>305</v>
      </c>
      <c r="B436" s="326">
        <v>200</v>
      </c>
      <c r="C436" s="326">
        <v>200</v>
      </c>
      <c r="D436" s="326">
        <v>400</v>
      </c>
      <c r="E436" s="326">
        <v>20</v>
      </c>
      <c r="F436" s="326">
        <v>0</v>
      </c>
      <c r="G436" s="330" t="s">
        <v>2742</v>
      </c>
      <c r="H436" s="330" t="s">
        <v>1042</v>
      </c>
      <c r="I436" s="326" t="s">
        <v>1043</v>
      </c>
      <c r="J436" s="326"/>
      <c r="K436" s="334">
        <f t="shared" si="6"/>
        <v>0</v>
      </c>
      <c r="L436" s="334">
        <v>0</v>
      </c>
      <c r="M436" s="334"/>
      <c r="N436" s="334">
        <v>0</v>
      </c>
      <c r="O436" s="232"/>
      <c r="P436" s="232"/>
      <c r="Q436" s="232"/>
      <c r="R436" s="232"/>
      <c r="S436" s="232"/>
      <c r="T436" s="232"/>
    </row>
    <row r="437" spans="1:20" ht="25.5">
      <c r="A437" s="174">
        <v>305</v>
      </c>
      <c r="B437" s="326">
        <v>200</v>
      </c>
      <c r="C437" s="326">
        <v>200</v>
      </c>
      <c r="D437" s="326">
        <v>400</v>
      </c>
      <c r="E437" s="326">
        <v>30</v>
      </c>
      <c r="F437" s="326">
        <v>0</v>
      </c>
      <c r="G437" s="330" t="s">
        <v>2743</v>
      </c>
      <c r="H437" s="330" t="s">
        <v>1044</v>
      </c>
      <c r="I437" s="326" t="s">
        <v>1045</v>
      </c>
      <c r="J437" s="326" t="s">
        <v>1579</v>
      </c>
      <c r="K437" s="334">
        <f t="shared" si="6"/>
        <v>0</v>
      </c>
      <c r="L437" s="334">
        <v>0</v>
      </c>
      <c r="M437" s="334"/>
      <c r="N437" s="334">
        <v>0</v>
      </c>
      <c r="O437" s="232"/>
      <c r="P437" s="232"/>
      <c r="Q437" s="232"/>
      <c r="R437" s="232"/>
      <c r="S437" s="232"/>
      <c r="T437" s="232"/>
    </row>
    <row r="438" spans="1:20">
      <c r="A438" s="174">
        <v>305</v>
      </c>
      <c r="B438" s="326">
        <v>200</v>
      </c>
      <c r="C438" s="326">
        <v>300</v>
      </c>
      <c r="D438" s="326">
        <v>0</v>
      </c>
      <c r="E438" s="326">
        <v>0</v>
      </c>
      <c r="F438" s="326">
        <v>0</v>
      </c>
      <c r="G438" s="331" t="s">
        <v>2744</v>
      </c>
      <c r="H438" s="331" t="s">
        <v>1046</v>
      </c>
      <c r="I438" s="326" t="s">
        <v>1047</v>
      </c>
      <c r="J438" s="325"/>
      <c r="K438" s="335">
        <f t="shared" si="6"/>
        <v>0</v>
      </c>
      <c r="L438" s="335">
        <v>0</v>
      </c>
      <c r="M438" s="335"/>
      <c r="N438" s="335">
        <v>0</v>
      </c>
      <c r="O438" s="232"/>
      <c r="P438" s="232"/>
      <c r="Q438" s="232"/>
      <c r="R438" s="232"/>
      <c r="S438" s="232"/>
      <c r="T438" s="232"/>
    </row>
    <row r="439" spans="1:20">
      <c r="A439" s="174">
        <v>305</v>
      </c>
      <c r="B439" s="326">
        <v>200</v>
      </c>
      <c r="C439" s="326">
        <v>300</v>
      </c>
      <c r="D439" s="326">
        <v>100</v>
      </c>
      <c r="E439" s="326">
        <v>0</v>
      </c>
      <c r="F439" s="326">
        <v>0</v>
      </c>
      <c r="G439" s="330" t="s">
        <v>2745</v>
      </c>
      <c r="H439" s="330" t="s">
        <v>1048</v>
      </c>
      <c r="I439" s="326" t="s">
        <v>1049</v>
      </c>
      <c r="J439" s="326"/>
      <c r="K439" s="334">
        <f t="shared" si="6"/>
        <v>695.26</v>
      </c>
      <c r="L439" s="334">
        <v>695.26</v>
      </c>
      <c r="M439" s="334"/>
      <c r="N439" s="334">
        <v>2291.5700000000002</v>
      </c>
      <c r="O439" s="232"/>
      <c r="P439" s="232"/>
      <c r="Q439" s="232"/>
      <c r="R439" s="232"/>
      <c r="S439" s="232"/>
      <c r="T439" s="232"/>
    </row>
    <row r="440" spans="1:20">
      <c r="A440" s="174">
        <v>305</v>
      </c>
      <c r="B440" s="326">
        <v>200</v>
      </c>
      <c r="C440" s="326">
        <v>300</v>
      </c>
      <c r="D440" s="326">
        <v>200</v>
      </c>
      <c r="E440" s="326">
        <v>0</v>
      </c>
      <c r="F440" s="326">
        <v>0</v>
      </c>
      <c r="G440" s="330" t="s">
        <v>2746</v>
      </c>
      <c r="H440" s="330" t="s">
        <v>1050</v>
      </c>
      <c r="I440" s="326" t="s">
        <v>1051</v>
      </c>
      <c r="J440" s="326"/>
      <c r="K440" s="334">
        <f t="shared" si="6"/>
        <v>169634.71</v>
      </c>
      <c r="L440" s="334">
        <v>169634.71</v>
      </c>
      <c r="M440" s="334"/>
      <c r="N440" s="334">
        <v>108450.06</v>
      </c>
      <c r="O440" s="232"/>
      <c r="P440" s="232"/>
      <c r="Q440" s="232"/>
      <c r="R440" s="232"/>
      <c r="S440" s="232"/>
      <c r="T440" s="232"/>
    </row>
    <row r="441" spans="1:20">
      <c r="A441" s="404">
        <v>310</v>
      </c>
      <c r="B441" s="405">
        <v>0</v>
      </c>
      <c r="C441" s="405">
        <v>0</v>
      </c>
      <c r="D441" s="405">
        <v>0</v>
      </c>
      <c r="E441" s="405">
        <v>0</v>
      </c>
      <c r="F441" s="405">
        <v>0</v>
      </c>
      <c r="G441" s="339">
        <v>310</v>
      </c>
      <c r="H441" s="339" t="s">
        <v>1052</v>
      </c>
      <c r="I441" s="52"/>
      <c r="J441" s="52"/>
      <c r="K441" s="346">
        <f t="shared" si="6"/>
        <v>0</v>
      </c>
      <c r="L441" s="346">
        <v>0</v>
      </c>
      <c r="M441" s="346"/>
      <c r="N441" s="346">
        <v>0</v>
      </c>
      <c r="O441" s="232"/>
      <c r="P441" s="232"/>
      <c r="Q441" s="232"/>
      <c r="R441" s="232"/>
      <c r="S441" s="232"/>
      <c r="T441" s="232"/>
    </row>
    <row r="442" spans="1:20" ht="25.5">
      <c r="A442" s="174">
        <v>310</v>
      </c>
      <c r="B442" s="326">
        <v>100</v>
      </c>
      <c r="C442" s="326">
        <v>0</v>
      </c>
      <c r="D442" s="326">
        <v>0</v>
      </c>
      <c r="E442" s="326">
        <v>0</v>
      </c>
      <c r="F442" s="326">
        <v>0</v>
      </c>
      <c r="G442" s="330" t="s">
        <v>2747</v>
      </c>
      <c r="H442" s="330" t="s">
        <v>1053</v>
      </c>
      <c r="I442" s="326" t="s">
        <v>1054</v>
      </c>
      <c r="J442" s="326"/>
      <c r="K442" s="334">
        <f t="shared" si="6"/>
        <v>64067.74</v>
      </c>
      <c r="L442" s="334">
        <v>64067.74</v>
      </c>
      <c r="M442" s="334"/>
      <c r="N442" s="334">
        <v>63376.480000000003</v>
      </c>
      <c r="O442" s="232"/>
      <c r="P442" s="232"/>
      <c r="Q442" s="232"/>
      <c r="R442" s="232"/>
      <c r="S442" s="232"/>
      <c r="T442" s="232"/>
    </row>
    <row r="443" spans="1:20">
      <c r="A443" s="174">
        <v>310</v>
      </c>
      <c r="B443" s="326">
        <v>200</v>
      </c>
      <c r="C443" s="326">
        <v>0</v>
      </c>
      <c r="D443" s="326">
        <v>0</v>
      </c>
      <c r="E443" s="326">
        <v>0</v>
      </c>
      <c r="F443" s="326">
        <v>0</v>
      </c>
      <c r="G443" s="331" t="s">
        <v>2748</v>
      </c>
      <c r="H443" s="331" t="s">
        <v>1055</v>
      </c>
      <c r="I443" s="326" t="s">
        <v>1056</v>
      </c>
      <c r="J443" s="325"/>
      <c r="K443" s="335">
        <f t="shared" si="6"/>
        <v>0</v>
      </c>
      <c r="L443" s="335">
        <v>0</v>
      </c>
      <c r="M443" s="335"/>
      <c r="N443" s="335">
        <v>0</v>
      </c>
      <c r="O443" s="232"/>
      <c r="P443" s="232"/>
      <c r="Q443" s="232"/>
      <c r="R443" s="232"/>
      <c r="S443" s="232"/>
      <c r="T443" s="232"/>
    </row>
    <row r="444" spans="1:20">
      <c r="A444" s="174">
        <v>310</v>
      </c>
      <c r="B444" s="326">
        <v>200</v>
      </c>
      <c r="C444" s="326">
        <v>100</v>
      </c>
      <c r="D444" s="326">
        <v>0</v>
      </c>
      <c r="E444" s="326">
        <v>0</v>
      </c>
      <c r="F444" s="326">
        <v>0</v>
      </c>
      <c r="G444" s="330" t="s">
        <v>2749</v>
      </c>
      <c r="H444" s="330" t="s">
        <v>1057</v>
      </c>
      <c r="I444" s="326"/>
      <c r="J444" s="326"/>
      <c r="K444" s="341">
        <f t="shared" si="6"/>
        <v>25620</v>
      </c>
      <c r="L444" s="341">
        <v>25620</v>
      </c>
      <c r="M444" s="341"/>
      <c r="N444" s="341">
        <v>40088</v>
      </c>
      <c r="O444" s="232"/>
      <c r="P444" s="232"/>
      <c r="Q444" s="232"/>
      <c r="R444" s="232"/>
      <c r="S444" s="232"/>
      <c r="T444" s="232"/>
    </row>
    <row r="445" spans="1:20">
      <c r="A445" s="174">
        <v>310</v>
      </c>
      <c r="B445" s="326">
        <v>200</v>
      </c>
      <c r="C445" s="326">
        <v>200</v>
      </c>
      <c r="D445" s="326">
        <v>0</v>
      </c>
      <c r="E445" s="326">
        <v>0</v>
      </c>
      <c r="F445" s="326">
        <v>0</v>
      </c>
      <c r="G445" s="330" t="s">
        <v>2750</v>
      </c>
      <c r="H445" s="330" t="s">
        <v>1058</v>
      </c>
      <c r="I445" s="326"/>
      <c r="J445" s="326"/>
      <c r="K445" s="341">
        <f t="shared" si="6"/>
        <v>195932.25</v>
      </c>
      <c r="L445" s="341">
        <v>195932.25</v>
      </c>
      <c r="M445" s="341"/>
      <c r="N445" s="341">
        <v>169292.94</v>
      </c>
      <c r="O445" s="232"/>
      <c r="P445" s="232"/>
      <c r="Q445" s="232"/>
      <c r="R445" s="232"/>
      <c r="S445" s="232"/>
      <c r="T445" s="232"/>
    </row>
    <row r="446" spans="1:20" ht="25.5">
      <c r="A446" s="174">
        <v>310</v>
      </c>
      <c r="B446" s="326">
        <v>200</v>
      </c>
      <c r="C446" s="326">
        <v>300</v>
      </c>
      <c r="D446" s="326">
        <v>0</v>
      </c>
      <c r="E446" s="326">
        <v>0</v>
      </c>
      <c r="F446" s="326">
        <v>0</v>
      </c>
      <c r="G446" s="330" t="s">
        <v>2751</v>
      </c>
      <c r="H446" s="330" t="s">
        <v>1059</v>
      </c>
      <c r="I446" s="326"/>
      <c r="J446" s="326"/>
      <c r="K446" s="341">
        <f t="shared" si="6"/>
        <v>0</v>
      </c>
      <c r="L446" s="341">
        <v>0</v>
      </c>
      <c r="M446" s="341"/>
      <c r="N446" s="341">
        <v>0</v>
      </c>
      <c r="O446" s="232"/>
      <c r="P446" s="232"/>
      <c r="Q446" s="232"/>
      <c r="R446" s="232"/>
      <c r="S446" s="232"/>
      <c r="T446" s="232"/>
    </row>
    <row r="447" spans="1:20" ht="25.5">
      <c r="A447" s="174">
        <v>310</v>
      </c>
      <c r="B447" s="326">
        <v>300</v>
      </c>
      <c r="C447" s="326">
        <v>0</v>
      </c>
      <c r="D447" s="326">
        <v>0</v>
      </c>
      <c r="E447" s="326">
        <v>0</v>
      </c>
      <c r="F447" s="326">
        <v>0</v>
      </c>
      <c r="G447" s="330" t="s">
        <v>2752</v>
      </c>
      <c r="H447" s="330" t="s">
        <v>1060</v>
      </c>
      <c r="I447" s="326" t="s">
        <v>1061</v>
      </c>
      <c r="J447" s="326"/>
      <c r="K447" s="334">
        <f t="shared" si="6"/>
        <v>1559747.71</v>
      </c>
      <c r="L447" s="334">
        <v>1559747.71</v>
      </c>
      <c r="M447" s="334"/>
      <c r="N447" s="334">
        <v>1592762.72</v>
      </c>
      <c r="O447" s="232"/>
      <c r="P447" s="232"/>
      <c r="Q447" s="232"/>
      <c r="R447" s="232"/>
      <c r="S447" s="232"/>
      <c r="T447" s="232"/>
    </row>
    <row r="448" spans="1:20">
      <c r="A448" s="174">
        <v>310</v>
      </c>
      <c r="B448" s="326">
        <v>400</v>
      </c>
      <c r="C448" s="326">
        <v>0</v>
      </c>
      <c r="D448" s="326">
        <v>0</v>
      </c>
      <c r="E448" s="326">
        <v>0</v>
      </c>
      <c r="F448" s="326">
        <v>0</v>
      </c>
      <c r="G448" s="330" t="s">
        <v>2753</v>
      </c>
      <c r="H448" s="330" t="s">
        <v>1062</v>
      </c>
      <c r="I448" s="326" t="s">
        <v>1063</v>
      </c>
      <c r="J448" s="326"/>
      <c r="K448" s="334">
        <f t="shared" si="6"/>
        <v>3541.11</v>
      </c>
      <c r="L448" s="334">
        <v>3541.11</v>
      </c>
      <c r="M448" s="334"/>
      <c r="N448" s="334">
        <v>0</v>
      </c>
      <c r="O448" s="232"/>
      <c r="P448" s="232"/>
      <c r="Q448" s="232"/>
      <c r="R448" s="232"/>
      <c r="S448" s="232"/>
      <c r="T448" s="232"/>
    </row>
    <row r="449" spans="1:20">
      <c r="A449" s="174">
        <v>310</v>
      </c>
      <c r="B449" s="326">
        <v>500</v>
      </c>
      <c r="C449" s="326">
        <v>0</v>
      </c>
      <c r="D449" s="326">
        <v>0</v>
      </c>
      <c r="E449" s="326">
        <v>0</v>
      </c>
      <c r="F449" s="326">
        <v>0</v>
      </c>
      <c r="G449" s="330" t="s">
        <v>2754</v>
      </c>
      <c r="H449" s="330" t="s">
        <v>1064</v>
      </c>
      <c r="I449" s="326" t="s">
        <v>1065</v>
      </c>
      <c r="J449" s="326"/>
      <c r="K449" s="334">
        <f t="shared" si="6"/>
        <v>0</v>
      </c>
      <c r="L449" s="334">
        <v>0</v>
      </c>
      <c r="M449" s="334"/>
      <c r="N449" s="334">
        <v>2680.02</v>
      </c>
      <c r="O449" s="232"/>
      <c r="P449" s="232"/>
      <c r="Q449" s="232"/>
      <c r="R449" s="232"/>
      <c r="S449" s="232"/>
      <c r="T449" s="232"/>
    </row>
    <row r="450" spans="1:20">
      <c r="A450" s="174">
        <v>310</v>
      </c>
      <c r="B450" s="326">
        <v>600</v>
      </c>
      <c r="C450" s="326">
        <v>0</v>
      </c>
      <c r="D450" s="326">
        <v>0</v>
      </c>
      <c r="E450" s="326">
        <v>0</v>
      </c>
      <c r="F450" s="326">
        <v>0</v>
      </c>
      <c r="G450" s="331" t="s">
        <v>2755</v>
      </c>
      <c r="H450" s="331" t="s">
        <v>1066</v>
      </c>
      <c r="I450" s="326" t="s">
        <v>1067</v>
      </c>
      <c r="J450" s="325"/>
      <c r="K450" s="335">
        <f t="shared" si="6"/>
        <v>0</v>
      </c>
      <c r="L450" s="335">
        <v>0</v>
      </c>
      <c r="M450" s="335"/>
      <c r="N450" s="335">
        <v>0</v>
      </c>
      <c r="O450" s="232"/>
      <c r="P450" s="232"/>
      <c r="Q450" s="232"/>
      <c r="R450" s="232"/>
      <c r="S450" s="232"/>
      <c r="T450" s="232"/>
    </row>
    <row r="451" spans="1:20">
      <c r="A451" s="174">
        <v>310</v>
      </c>
      <c r="B451" s="326">
        <v>600</v>
      </c>
      <c r="C451" s="326">
        <v>100</v>
      </c>
      <c r="D451" s="326">
        <v>0</v>
      </c>
      <c r="E451" s="326">
        <v>0</v>
      </c>
      <c r="F451" s="326">
        <v>0</v>
      </c>
      <c r="G451" s="330" t="s">
        <v>2756</v>
      </c>
      <c r="H451" s="330" t="s">
        <v>1068</v>
      </c>
      <c r="I451" s="326"/>
      <c r="J451" s="326"/>
      <c r="K451" s="341">
        <f t="shared" si="6"/>
        <v>63582.540000000008</v>
      </c>
      <c r="L451" s="341">
        <v>63582.540000000008</v>
      </c>
      <c r="M451" s="341"/>
      <c r="N451" s="341">
        <v>42643.79</v>
      </c>
      <c r="O451" s="232"/>
      <c r="P451" s="232"/>
      <c r="Q451" s="232"/>
      <c r="R451" s="232"/>
      <c r="S451" s="232"/>
      <c r="T451" s="232"/>
    </row>
    <row r="452" spans="1:20">
      <c r="A452" s="174">
        <v>310</v>
      </c>
      <c r="B452" s="326">
        <v>600</v>
      </c>
      <c r="C452" s="326">
        <v>200</v>
      </c>
      <c r="D452" s="326">
        <v>0</v>
      </c>
      <c r="E452" s="326">
        <v>0</v>
      </c>
      <c r="F452" s="326">
        <v>0</v>
      </c>
      <c r="G452" s="330" t="s">
        <v>2757</v>
      </c>
      <c r="H452" s="330" t="s">
        <v>1069</v>
      </c>
      <c r="I452" s="326"/>
      <c r="J452" s="326"/>
      <c r="K452" s="341">
        <f t="shared" si="6"/>
        <v>34595.99</v>
      </c>
      <c r="L452" s="341">
        <v>34595.99</v>
      </c>
      <c r="M452" s="341"/>
      <c r="N452" s="341">
        <v>31497.299999999996</v>
      </c>
      <c r="O452" s="232"/>
      <c r="P452" s="232"/>
      <c r="Q452" s="232"/>
      <c r="R452" s="232"/>
      <c r="S452" s="232"/>
      <c r="T452" s="232"/>
    </row>
    <row r="453" spans="1:20">
      <c r="A453" s="174">
        <v>310</v>
      </c>
      <c r="B453" s="326">
        <v>600</v>
      </c>
      <c r="C453" s="326">
        <v>300</v>
      </c>
      <c r="D453" s="326">
        <v>0</v>
      </c>
      <c r="E453" s="326">
        <v>0</v>
      </c>
      <c r="F453" s="326">
        <v>0</v>
      </c>
      <c r="G453" s="330" t="s">
        <v>2758</v>
      </c>
      <c r="H453" s="330" t="s">
        <v>1066</v>
      </c>
      <c r="I453" s="326"/>
      <c r="J453" s="326"/>
      <c r="K453" s="341">
        <f t="shared" si="6"/>
        <v>1242.48</v>
      </c>
      <c r="L453" s="341">
        <v>1242.48</v>
      </c>
      <c r="M453" s="341"/>
      <c r="N453" s="341">
        <v>19532.12</v>
      </c>
      <c r="O453" s="232"/>
      <c r="P453" s="232"/>
      <c r="Q453" s="232"/>
      <c r="R453" s="232"/>
      <c r="S453" s="232"/>
      <c r="T453" s="232"/>
    </row>
    <row r="454" spans="1:20" ht="25.5">
      <c r="A454" s="174">
        <v>310</v>
      </c>
      <c r="B454" s="326">
        <v>700</v>
      </c>
      <c r="C454" s="326">
        <v>0</v>
      </c>
      <c r="D454" s="326">
        <v>0</v>
      </c>
      <c r="E454" s="326">
        <v>0</v>
      </c>
      <c r="F454" s="326">
        <v>0</v>
      </c>
      <c r="G454" s="330" t="s">
        <v>2759</v>
      </c>
      <c r="H454" s="330" t="s">
        <v>1070</v>
      </c>
      <c r="I454" s="332" t="s">
        <v>1071</v>
      </c>
      <c r="J454" s="332" t="s">
        <v>1530</v>
      </c>
      <c r="K454" s="334">
        <f t="shared" si="6"/>
        <v>0</v>
      </c>
      <c r="L454" s="334">
        <v>0</v>
      </c>
      <c r="M454" s="334"/>
      <c r="N454" s="334">
        <v>0</v>
      </c>
      <c r="O454" s="232"/>
      <c r="P454" s="232"/>
      <c r="Q454" s="232"/>
      <c r="R454" s="232"/>
      <c r="S454" s="232"/>
      <c r="T454" s="232"/>
    </row>
    <row r="455" spans="1:20">
      <c r="A455" s="404">
        <v>315</v>
      </c>
      <c r="B455" s="405">
        <v>0</v>
      </c>
      <c r="C455" s="405">
        <v>0</v>
      </c>
      <c r="D455" s="405">
        <v>0</v>
      </c>
      <c r="E455" s="405">
        <v>0</v>
      </c>
      <c r="F455" s="405">
        <v>0</v>
      </c>
      <c r="G455" s="339">
        <v>315</v>
      </c>
      <c r="H455" s="339" t="s">
        <v>60</v>
      </c>
      <c r="I455" s="52" t="s">
        <v>1072</v>
      </c>
      <c r="J455" s="52"/>
      <c r="K455" s="346">
        <f t="shared" ref="K455:K518" si="7">+L455+M455</f>
        <v>0</v>
      </c>
      <c r="L455" s="346">
        <v>0</v>
      </c>
      <c r="M455" s="346"/>
      <c r="N455" s="346">
        <v>0</v>
      </c>
      <c r="O455" s="232"/>
      <c r="P455" s="232"/>
      <c r="Q455" s="232"/>
      <c r="R455" s="232"/>
      <c r="S455" s="232"/>
      <c r="T455" s="232"/>
    </row>
    <row r="456" spans="1:20">
      <c r="A456" s="174">
        <v>315</v>
      </c>
      <c r="B456" s="326">
        <v>100</v>
      </c>
      <c r="C456" s="326">
        <v>0</v>
      </c>
      <c r="D456" s="326">
        <v>0</v>
      </c>
      <c r="E456" s="326">
        <v>0</v>
      </c>
      <c r="F456" s="326">
        <v>0</v>
      </c>
      <c r="G456" s="331" t="s">
        <v>2760</v>
      </c>
      <c r="H456" s="331" t="s">
        <v>1073</v>
      </c>
      <c r="I456" s="326" t="s">
        <v>1074</v>
      </c>
      <c r="J456" s="325"/>
      <c r="K456" s="335">
        <f t="shared" si="7"/>
        <v>0</v>
      </c>
      <c r="L456" s="335">
        <v>0</v>
      </c>
      <c r="M456" s="335"/>
      <c r="N456" s="335">
        <v>0</v>
      </c>
      <c r="O456" s="232"/>
      <c r="P456" s="232"/>
      <c r="Q456" s="232"/>
      <c r="R456" s="232"/>
      <c r="S456" s="232"/>
      <c r="T456" s="232"/>
    </row>
    <row r="457" spans="1:20">
      <c r="A457" s="174">
        <v>315</v>
      </c>
      <c r="B457" s="326">
        <v>100</v>
      </c>
      <c r="C457" s="326">
        <v>100</v>
      </c>
      <c r="D457" s="326">
        <v>0</v>
      </c>
      <c r="E457" s="326">
        <v>0</v>
      </c>
      <c r="F457" s="326">
        <v>0</v>
      </c>
      <c r="G457" s="330" t="s">
        <v>2761</v>
      </c>
      <c r="H457" s="330" t="s">
        <v>1075</v>
      </c>
      <c r="I457" s="326"/>
      <c r="J457" s="326"/>
      <c r="K457" s="341">
        <f t="shared" si="7"/>
        <v>25228.16</v>
      </c>
      <c r="L457" s="341">
        <v>25228.16</v>
      </c>
      <c r="M457" s="341"/>
      <c r="N457" s="341">
        <v>25228.16</v>
      </c>
      <c r="O457" s="232"/>
      <c r="P457" s="232"/>
      <c r="Q457" s="232"/>
      <c r="R457" s="232"/>
      <c r="S457" s="232"/>
      <c r="T457" s="232"/>
    </row>
    <row r="458" spans="1:20">
      <c r="A458" s="174">
        <v>315</v>
      </c>
      <c r="B458" s="326">
        <v>100</v>
      </c>
      <c r="C458" s="326">
        <v>200</v>
      </c>
      <c r="D458" s="326">
        <v>0</v>
      </c>
      <c r="E458" s="326">
        <v>0</v>
      </c>
      <c r="F458" s="326">
        <v>0</v>
      </c>
      <c r="G458" s="330" t="s">
        <v>2762</v>
      </c>
      <c r="H458" s="330" t="s">
        <v>1076</v>
      </c>
      <c r="I458" s="326"/>
      <c r="J458" s="326"/>
      <c r="K458" s="341">
        <f t="shared" si="7"/>
        <v>20617.490000000002</v>
      </c>
      <c r="L458" s="341">
        <v>20617.490000000002</v>
      </c>
      <c r="M458" s="341"/>
      <c r="N458" s="341">
        <v>6279.25</v>
      </c>
      <c r="O458" s="232"/>
      <c r="P458" s="232"/>
      <c r="Q458" s="232"/>
      <c r="R458" s="232"/>
      <c r="S458" s="232"/>
      <c r="T458" s="232"/>
    </row>
    <row r="459" spans="1:20">
      <c r="A459" s="174">
        <v>315</v>
      </c>
      <c r="B459" s="326">
        <v>200</v>
      </c>
      <c r="C459" s="326">
        <v>0</v>
      </c>
      <c r="D459" s="326">
        <v>0</v>
      </c>
      <c r="E459" s="326">
        <v>0</v>
      </c>
      <c r="F459" s="326">
        <v>0</v>
      </c>
      <c r="G459" s="331" t="s">
        <v>2763</v>
      </c>
      <c r="H459" s="331" t="s">
        <v>1077</v>
      </c>
      <c r="I459" s="326" t="s">
        <v>1078</v>
      </c>
      <c r="J459" s="325"/>
      <c r="K459" s="335">
        <f t="shared" si="7"/>
        <v>0</v>
      </c>
      <c r="L459" s="335">
        <v>0</v>
      </c>
      <c r="M459" s="335"/>
      <c r="N459" s="335">
        <v>0</v>
      </c>
      <c r="O459" s="232"/>
      <c r="P459" s="232"/>
      <c r="Q459" s="232"/>
      <c r="R459" s="232"/>
      <c r="S459" s="232"/>
      <c r="T459" s="232"/>
    </row>
    <row r="460" spans="1:20">
      <c r="A460" s="174">
        <v>315</v>
      </c>
      <c r="B460" s="326">
        <v>200</v>
      </c>
      <c r="C460" s="326">
        <v>100</v>
      </c>
      <c r="D460" s="326">
        <v>0</v>
      </c>
      <c r="E460" s="326">
        <v>0</v>
      </c>
      <c r="F460" s="326">
        <v>0</v>
      </c>
      <c r="G460" s="330" t="s">
        <v>2764</v>
      </c>
      <c r="H460" s="330" t="s">
        <v>1079</v>
      </c>
      <c r="I460" s="326" t="s">
        <v>1080</v>
      </c>
      <c r="J460" s="326"/>
      <c r="K460" s="334">
        <f t="shared" si="7"/>
        <v>1057490.55</v>
      </c>
      <c r="L460" s="334">
        <v>1057490.55</v>
      </c>
      <c r="M460" s="334"/>
      <c r="N460" s="334">
        <v>468002.52</v>
      </c>
      <c r="O460" s="232"/>
      <c r="P460" s="232"/>
      <c r="Q460" s="232"/>
      <c r="R460" s="232"/>
      <c r="S460" s="232"/>
      <c r="T460" s="232"/>
    </row>
    <row r="461" spans="1:20">
      <c r="A461" s="174">
        <v>315</v>
      </c>
      <c r="B461" s="326">
        <v>200</v>
      </c>
      <c r="C461" s="326">
        <v>200</v>
      </c>
      <c r="D461" s="326">
        <v>0</v>
      </c>
      <c r="E461" s="326">
        <v>0</v>
      </c>
      <c r="F461" s="326">
        <v>0</v>
      </c>
      <c r="G461" s="331" t="s">
        <v>2765</v>
      </c>
      <c r="H461" s="331" t="s">
        <v>1081</v>
      </c>
      <c r="I461" s="326" t="s">
        <v>1082</v>
      </c>
      <c r="J461" s="325"/>
      <c r="K461" s="335">
        <f t="shared" si="7"/>
        <v>0</v>
      </c>
      <c r="L461" s="335">
        <v>0</v>
      </c>
      <c r="M461" s="335"/>
      <c r="N461" s="335">
        <v>0</v>
      </c>
      <c r="O461" s="232"/>
      <c r="P461" s="232"/>
      <c r="Q461" s="232"/>
      <c r="R461" s="232"/>
      <c r="S461" s="232"/>
      <c r="T461" s="232"/>
    </row>
    <row r="462" spans="1:20">
      <c r="A462" s="174">
        <v>315</v>
      </c>
      <c r="B462" s="326">
        <v>200</v>
      </c>
      <c r="C462" s="326">
        <v>200</v>
      </c>
      <c r="D462" s="326">
        <v>100</v>
      </c>
      <c r="E462" s="326">
        <v>0</v>
      </c>
      <c r="F462" s="326">
        <v>0</v>
      </c>
      <c r="G462" s="330" t="s">
        <v>2766</v>
      </c>
      <c r="H462" s="330" t="s">
        <v>1083</v>
      </c>
      <c r="I462" s="326"/>
      <c r="J462" s="326"/>
      <c r="K462" s="341">
        <f t="shared" si="7"/>
        <v>293801.09000000003</v>
      </c>
      <c r="L462" s="341">
        <v>293801.09000000003</v>
      </c>
      <c r="M462" s="341"/>
      <c r="N462" s="341">
        <v>207559.65</v>
      </c>
      <c r="O462" s="232"/>
      <c r="P462" s="232"/>
      <c r="Q462" s="232"/>
      <c r="R462" s="232"/>
      <c r="S462" s="232"/>
      <c r="T462" s="232"/>
    </row>
    <row r="463" spans="1:20">
      <c r="A463" s="174">
        <v>315</v>
      </c>
      <c r="B463" s="326">
        <v>200</v>
      </c>
      <c r="C463" s="326">
        <v>200</v>
      </c>
      <c r="D463" s="326">
        <v>200</v>
      </c>
      <c r="E463" s="326">
        <v>0</v>
      </c>
      <c r="F463" s="326">
        <v>0</v>
      </c>
      <c r="G463" s="330" t="s">
        <v>2767</v>
      </c>
      <c r="H463" s="330" t="s">
        <v>1084</v>
      </c>
      <c r="I463" s="326"/>
      <c r="J463" s="326"/>
      <c r="K463" s="341">
        <f t="shared" si="7"/>
        <v>16855.330000000002</v>
      </c>
      <c r="L463" s="341">
        <v>16855.330000000002</v>
      </c>
      <c r="M463" s="341"/>
      <c r="N463" s="341">
        <v>13750.25</v>
      </c>
      <c r="O463" s="232"/>
      <c r="P463" s="232"/>
      <c r="Q463" s="232"/>
      <c r="R463" s="232"/>
      <c r="S463" s="232"/>
      <c r="T463" s="232"/>
    </row>
    <row r="464" spans="1:20">
      <c r="A464" s="174">
        <v>315</v>
      </c>
      <c r="B464" s="326">
        <v>200</v>
      </c>
      <c r="C464" s="326">
        <v>200</v>
      </c>
      <c r="D464" s="326">
        <v>300</v>
      </c>
      <c r="E464" s="326">
        <v>0</v>
      </c>
      <c r="F464" s="326">
        <v>0</v>
      </c>
      <c r="G464" s="330" t="s">
        <v>2768</v>
      </c>
      <c r="H464" s="330" t="s">
        <v>1085</v>
      </c>
      <c r="I464" s="326"/>
      <c r="J464" s="326"/>
      <c r="K464" s="341">
        <f t="shared" si="7"/>
        <v>10743.96</v>
      </c>
      <c r="L464" s="341">
        <v>10743.96</v>
      </c>
      <c r="M464" s="341"/>
      <c r="N464" s="341">
        <v>10743.99</v>
      </c>
      <c r="O464" s="232"/>
      <c r="P464" s="232"/>
      <c r="Q464" s="232"/>
      <c r="R464" s="232"/>
      <c r="S464" s="232"/>
      <c r="T464" s="232"/>
    </row>
    <row r="465" spans="1:20">
      <c r="A465" s="174">
        <v>315</v>
      </c>
      <c r="B465" s="326">
        <v>200</v>
      </c>
      <c r="C465" s="326">
        <v>200</v>
      </c>
      <c r="D465" s="326">
        <v>900</v>
      </c>
      <c r="E465" s="326">
        <v>0</v>
      </c>
      <c r="F465" s="326">
        <v>0</v>
      </c>
      <c r="G465" s="330" t="s">
        <v>2769</v>
      </c>
      <c r="H465" s="330" t="s">
        <v>1086</v>
      </c>
      <c r="I465" s="326"/>
      <c r="J465" s="326"/>
      <c r="K465" s="341">
        <f t="shared" si="7"/>
        <v>0</v>
      </c>
      <c r="L465" s="341">
        <v>0</v>
      </c>
      <c r="M465" s="341"/>
      <c r="N465" s="341">
        <v>0</v>
      </c>
      <c r="O465" s="232"/>
      <c r="P465" s="232"/>
      <c r="Q465" s="232"/>
      <c r="R465" s="232"/>
      <c r="S465" s="232"/>
      <c r="T465" s="232"/>
    </row>
    <row r="466" spans="1:20">
      <c r="A466" s="174">
        <v>315</v>
      </c>
      <c r="B466" s="326">
        <v>300</v>
      </c>
      <c r="C466" s="326">
        <v>0</v>
      </c>
      <c r="D466" s="326">
        <v>0</v>
      </c>
      <c r="E466" s="326">
        <v>0</v>
      </c>
      <c r="F466" s="326">
        <v>0</v>
      </c>
      <c r="G466" s="331" t="s">
        <v>2770</v>
      </c>
      <c r="H466" s="331" t="s">
        <v>1087</v>
      </c>
      <c r="I466" s="326" t="s">
        <v>1088</v>
      </c>
      <c r="J466" s="325"/>
      <c r="K466" s="335">
        <f t="shared" si="7"/>
        <v>0</v>
      </c>
      <c r="L466" s="335">
        <v>0</v>
      </c>
      <c r="M466" s="335"/>
      <c r="N466" s="335">
        <v>0</v>
      </c>
      <c r="O466" s="232"/>
      <c r="P466" s="232"/>
      <c r="Q466" s="232"/>
      <c r="R466" s="232"/>
      <c r="S466" s="232"/>
      <c r="T466" s="232"/>
    </row>
    <row r="467" spans="1:20">
      <c r="A467" s="174">
        <v>315</v>
      </c>
      <c r="B467" s="326">
        <v>300</v>
      </c>
      <c r="C467" s="326">
        <v>100</v>
      </c>
      <c r="D467" s="326">
        <v>0</v>
      </c>
      <c r="E467" s="326">
        <v>0</v>
      </c>
      <c r="F467" s="326">
        <v>0</v>
      </c>
      <c r="G467" s="331" t="s">
        <v>2771</v>
      </c>
      <c r="H467" s="331" t="s">
        <v>1089</v>
      </c>
      <c r="I467" s="326" t="s">
        <v>1090</v>
      </c>
      <c r="J467" s="325"/>
      <c r="K467" s="335">
        <f t="shared" si="7"/>
        <v>0</v>
      </c>
      <c r="L467" s="335">
        <v>0</v>
      </c>
      <c r="M467" s="335"/>
      <c r="N467" s="335">
        <v>0</v>
      </c>
      <c r="O467" s="232"/>
      <c r="P467" s="232"/>
      <c r="Q467" s="232"/>
      <c r="R467" s="232"/>
      <c r="S467" s="232"/>
      <c r="T467" s="232"/>
    </row>
    <row r="468" spans="1:20">
      <c r="A468" s="174">
        <v>315</v>
      </c>
      <c r="B468" s="326">
        <v>300</v>
      </c>
      <c r="C468" s="326">
        <v>100</v>
      </c>
      <c r="D468" s="326">
        <v>100</v>
      </c>
      <c r="E468" s="326">
        <v>0</v>
      </c>
      <c r="F468" s="326">
        <v>0</v>
      </c>
      <c r="G468" s="330" t="s">
        <v>2772</v>
      </c>
      <c r="H468" s="330" t="s">
        <v>1091</v>
      </c>
      <c r="I468" s="326"/>
      <c r="J468" s="326"/>
      <c r="K468" s="341">
        <f t="shared" si="7"/>
        <v>0</v>
      </c>
      <c r="L468" s="341">
        <v>0</v>
      </c>
      <c r="M468" s="341"/>
      <c r="N468" s="341">
        <v>0</v>
      </c>
      <c r="O468" s="232"/>
      <c r="P468" s="232"/>
      <c r="Q468" s="232"/>
      <c r="R468" s="232"/>
      <c r="S468" s="232"/>
      <c r="T468" s="232"/>
    </row>
    <row r="469" spans="1:20">
      <c r="A469" s="174">
        <v>315</v>
      </c>
      <c r="B469" s="326">
        <v>300</v>
      </c>
      <c r="C469" s="326">
        <v>100</v>
      </c>
      <c r="D469" s="326">
        <v>200</v>
      </c>
      <c r="E469" s="326">
        <v>0</v>
      </c>
      <c r="F469" s="326">
        <v>0</v>
      </c>
      <c r="G469" s="330" t="s">
        <v>2773</v>
      </c>
      <c r="H469" s="330" t="s">
        <v>1092</v>
      </c>
      <c r="I469" s="326"/>
      <c r="J469" s="326"/>
      <c r="K469" s="341">
        <f t="shared" si="7"/>
        <v>46702.29</v>
      </c>
      <c r="L469" s="341">
        <v>46702.29</v>
      </c>
      <c r="M469" s="341"/>
      <c r="N469" s="341">
        <v>36461.42</v>
      </c>
      <c r="O469" s="232"/>
      <c r="P469" s="232"/>
      <c r="Q469" s="232"/>
      <c r="R469" s="232"/>
      <c r="S469" s="232"/>
      <c r="T469" s="232"/>
    </row>
    <row r="470" spans="1:20">
      <c r="A470" s="174">
        <v>315</v>
      </c>
      <c r="B470" s="326">
        <v>300</v>
      </c>
      <c r="C470" s="326">
        <v>200</v>
      </c>
      <c r="D470" s="326">
        <v>0</v>
      </c>
      <c r="E470" s="326">
        <v>0</v>
      </c>
      <c r="F470" s="326">
        <v>0</v>
      </c>
      <c r="G470" s="331" t="s">
        <v>2774</v>
      </c>
      <c r="H470" s="331" t="s">
        <v>1093</v>
      </c>
      <c r="I470" s="326" t="s">
        <v>1094</v>
      </c>
      <c r="J470" s="325"/>
      <c r="K470" s="335">
        <f t="shared" si="7"/>
        <v>0</v>
      </c>
      <c r="L470" s="335">
        <v>0</v>
      </c>
      <c r="M470" s="335"/>
      <c r="N470" s="335">
        <v>0</v>
      </c>
      <c r="O470" s="232"/>
      <c r="P470" s="232"/>
      <c r="Q470" s="232"/>
      <c r="R470" s="232"/>
      <c r="S470" s="232"/>
      <c r="T470" s="232"/>
    </row>
    <row r="471" spans="1:20">
      <c r="A471" s="174">
        <v>315</v>
      </c>
      <c r="B471" s="326">
        <v>300</v>
      </c>
      <c r="C471" s="326">
        <v>200</v>
      </c>
      <c r="D471" s="326">
        <v>100</v>
      </c>
      <c r="E471" s="326">
        <v>0</v>
      </c>
      <c r="F471" s="326">
        <v>0</v>
      </c>
      <c r="G471" s="330" t="s">
        <v>2775</v>
      </c>
      <c r="H471" s="330" t="s">
        <v>1091</v>
      </c>
      <c r="I471" s="326"/>
      <c r="J471" s="326"/>
      <c r="K471" s="341">
        <f t="shared" si="7"/>
        <v>0</v>
      </c>
      <c r="L471" s="341">
        <v>0</v>
      </c>
      <c r="M471" s="341"/>
      <c r="N471" s="341">
        <v>0</v>
      </c>
      <c r="O471" s="232"/>
      <c r="P471" s="232"/>
      <c r="Q471" s="232"/>
      <c r="R471" s="232"/>
      <c r="S471" s="232"/>
      <c r="T471" s="232"/>
    </row>
    <row r="472" spans="1:20">
      <c r="A472" s="174">
        <v>315</v>
      </c>
      <c r="B472" s="326">
        <v>300</v>
      </c>
      <c r="C472" s="326">
        <v>200</v>
      </c>
      <c r="D472" s="326">
        <v>200</v>
      </c>
      <c r="E472" s="326">
        <v>0</v>
      </c>
      <c r="F472" s="326">
        <v>0</v>
      </c>
      <c r="G472" s="330" t="s">
        <v>2776</v>
      </c>
      <c r="H472" s="330" t="s">
        <v>1092</v>
      </c>
      <c r="I472" s="326"/>
      <c r="J472" s="326"/>
      <c r="K472" s="341">
        <f t="shared" si="7"/>
        <v>0</v>
      </c>
      <c r="L472" s="341">
        <v>0</v>
      </c>
      <c r="M472" s="341"/>
      <c r="N472" s="341">
        <v>0</v>
      </c>
      <c r="O472" s="232"/>
      <c r="P472" s="232"/>
      <c r="Q472" s="232"/>
      <c r="R472" s="232"/>
      <c r="S472" s="232"/>
      <c r="T472" s="232"/>
    </row>
    <row r="473" spans="1:20">
      <c r="A473" s="174">
        <v>315</v>
      </c>
      <c r="B473" s="326">
        <v>350</v>
      </c>
      <c r="C473" s="326">
        <v>0</v>
      </c>
      <c r="D473" s="326">
        <v>0</v>
      </c>
      <c r="E473" s="326">
        <v>0</v>
      </c>
      <c r="F473" s="326">
        <v>0</v>
      </c>
      <c r="G473" s="330" t="s">
        <v>2777</v>
      </c>
      <c r="H473" s="330" t="s">
        <v>1095</v>
      </c>
      <c r="I473" s="332" t="s">
        <v>1096</v>
      </c>
      <c r="J473" s="332"/>
      <c r="K473" s="334">
        <f t="shared" si="7"/>
        <v>251824.44</v>
      </c>
      <c r="L473" s="334">
        <v>251824.44</v>
      </c>
      <c r="M473" s="334"/>
      <c r="N473" s="334">
        <v>125912.22</v>
      </c>
      <c r="O473" s="232"/>
      <c r="P473" s="232"/>
      <c r="Q473" s="232"/>
      <c r="R473" s="232"/>
      <c r="S473" s="232"/>
      <c r="T473" s="232"/>
    </row>
    <row r="474" spans="1:20" ht="25.5">
      <c r="A474" s="174">
        <v>315</v>
      </c>
      <c r="B474" s="326">
        <v>400</v>
      </c>
      <c r="C474" s="326">
        <v>0</v>
      </c>
      <c r="D474" s="326">
        <v>0</v>
      </c>
      <c r="E474" s="326">
        <v>0</v>
      </c>
      <c r="F474" s="326">
        <v>0</v>
      </c>
      <c r="G474" s="330" t="s">
        <v>2778</v>
      </c>
      <c r="H474" s="330" t="s">
        <v>1097</v>
      </c>
      <c r="I474" s="332" t="s">
        <v>1098</v>
      </c>
      <c r="J474" s="332" t="s">
        <v>1530</v>
      </c>
      <c r="K474" s="334">
        <f t="shared" si="7"/>
        <v>0</v>
      </c>
      <c r="L474" s="334">
        <v>0</v>
      </c>
      <c r="M474" s="334"/>
      <c r="N474" s="334">
        <v>0</v>
      </c>
      <c r="O474" s="232"/>
      <c r="P474" s="232"/>
      <c r="Q474" s="232"/>
      <c r="R474" s="232"/>
      <c r="S474" s="232"/>
      <c r="T474" s="232"/>
    </row>
    <row r="475" spans="1:20">
      <c r="A475" s="404">
        <v>320</v>
      </c>
      <c r="B475" s="405">
        <v>0</v>
      </c>
      <c r="C475" s="405">
        <v>0</v>
      </c>
      <c r="D475" s="405">
        <v>0</v>
      </c>
      <c r="E475" s="405">
        <v>0</v>
      </c>
      <c r="F475" s="405">
        <v>0</v>
      </c>
      <c r="G475" s="339">
        <v>320</v>
      </c>
      <c r="H475" s="339" t="s">
        <v>1099</v>
      </c>
      <c r="I475" s="52" t="s">
        <v>1100</v>
      </c>
      <c r="J475" s="52"/>
      <c r="K475" s="346">
        <f t="shared" si="7"/>
        <v>0</v>
      </c>
      <c r="L475" s="346">
        <v>0</v>
      </c>
      <c r="M475" s="346"/>
      <c r="N475" s="346">
        <v>0</v>
      </c>
      <c r="O475" s="232"/>
      <c r="P475" s="232"/>
      <c r="Q475" s="232"/>
      <c r="R475" s="232"/>
      <c r="S475" s="232"/>
      <c r="T475" s="232"/>
    </row>
    <row r="476" spans="1:20">
      <c r="A476" s="174">
        <v>320</v>
      </c>
      <c r="B476" s="326">
        <v>100</v>
      </c>
      <c r="C476" s="326">
        <v>0</v>
      </c>
      <c r="D476" s="326">
        <v>0</v>
      </c>
      <c r="E476" s="326">
        <v>0</v>
      </c>
      <c r="F476" s="326">
        <v>0</v>
      </c>
      <c r="G476" s="331" t="s">
        <v>2779</v>
      </c>
      <c r="H476" s="331" t="s">
        <v>1101</v>
      </c>
      <c r="I476" s="326" t="s">
        <v>1102</v>
      </c>
      <c r="J476" s="325"/>
      <c r="K476" s="335">
        <f t="shared" si="7"/>
        <v>0</v>
      </c>
      <c r="L476" s="335">
        <v>0</v>
      </c>
      <c r="M476" s="335"/>
      <c r="N476" s="335">
        <v>0</v>
      </c>
      <c r="O476" s="232"/>
      <c r="P476" s="232"/>
      <c r="Q476" s="232"/>
      <c r="R476" s="232"/>
      <c r="S476" s="232"/>
      <c r="T476" s="232"/>
    </row>
    <row r="477" spans="1:20">
      <c r="A477" s="174">
        <v>320</v>
      </c>
      <c r="B477" s="326">
        <v>100</v>
      </c>
      <c r="C477" s="326">
        <v>100</v>
      </c>
      <c r="D477" s="326">
        <v>0</v>
      </c>
      <c r="E477" s="326">
        <v>0</v>
      </c>
      <c r="F477" s="326">
        <v>0</v>
      </c>
      <c r="G477" s="331" t="s">
        <v>2780</v>
      </c>
      <c r="H477" s="331" t="s">
        <v>1103</v>
      </c>
      <c r="I477" s="326" t="s">
        <v>1104</v>
      </c>
      <c r="J477" s="325"/>
      <c r="K477" s="335">
        <f t="shared" si="7"/>
        <v>0</v>
      </c>
      <c r="L477" s="335">
        <v>0</v>
      </c>
      <c r="M477" s="335"/>
      <c r="N477" s="335">
        <v>0</v>
      </c>
      <c r="O477" s="232"/>
      <c r="P477" s="232"/>
      <c r="Q477" s="232"/>
      <c r="R477" s="232"/>
      <c r="S477" s="232"/>
      <c r="T477" s="232"/>
    </row>
    <row r="478" spans="1:20">
      <c r="A478" s="174">
        <v>320</v>
      </c>
      <c r="B478" s="326">
        <v>100</v>
      </c>
      <c r="C478" s="326">
        <v>100</v>
      </c>
      <c r="D478" s="326">
        <v>100</v>
      </c>
      <c r="E478" s="326">
        <v>0</v>
      </c>
      <c r="F478" s="326">
        <v>0</v>
      </c>
      <c r="G478" s="331" t="s">
        <v>2781</v>
      </c>
      <c r="H478" s="331" t="s">
        <v>1105</v>
      </c>
      <c r="I478" s="326" t="s">
        <v>1106</v>
      </c>
      <c r="J478" s="325"/>
      <c r="K478" s="335">
        <f t="shared" si="7"/>
        <v>0</v>
      </c>
      <c r="L478" s="335">
        <v>0</v>
      </c>
      <c r="M478" s="335"/>
      <c r="N478" s="335">
        <v>0</v>
      </c>
      <c r="O478" s="232"/>
      <c r="P478" s="232"/>
      <c r="Q478" s="232"/>
      <c r="R478" s="232"/>
      <c r="S478" s="232"/>
      <c r="T478" s="232"/>
    </row>
    <row r="479" spans="1:20">
      <c r="A479" s="174">
        <v>320</v>
      </c>
      <c r="B479" s="326">
        <v>100</v>
      </c>
      <c r="C479" s="326">
        <v>100</v>
      </c>
      <c r="D479" s="326">
        <v>100</v>
      </c>
      <c r="E479" s="326">
        <v>10</v>
      </c>
      <c r="F479" s="326">
        <v>0</v>
      </c>
      <c r="G479" s="347" t="s">
        <v>2782</v>
      </c>
      <c r="H479" s="330" t="s">
        <v>1107</v>
      </c>
      <c r="I479" s="326"/>
      <c r="J479" s="326"/>
      <c r="K479" s="334">
        <f t="shared" si="7"/>
        <v>7605291.1600000001</v>
      </c>
      <c r="L479" s="334">
        <v>7605291.1600000001</v>
      </c>
      <c r="M479" s="334"/>
      <c r="N479" s="334">
        <v>7132821.8699999992</v>
      </c>
      <c r="O479" s="232"/>
      <c r="P479" s="232"/>
      <c r="Q479" s="232"/>
      <c r="R479" s="232"/>
      <c r="S479" s="232"/>
      <c r="T479" s="232"/>
    </row>
    <row r="480" spans="1:20">
      <c r="A480" s="174">
        <v>320</v>
      </c>
      <c r="B480" s="326">
        <v>100</v>
      </c>
      <c r="C480" s="326">
        <v>100</v>
      </c>
      <c r="D480" s="326">
        <v>100</v>
      </c>
      <c r="E480" s="326">
        <v>20</v>
      </c>
      <c r="F480" s="326">
        <v>0</v>
      </c>
      <c r="G480" s="347" t="s">
        <v>2783</v>
      </c>
      <c r="H480" s="330" t="s">
        <v>1108</v>
      </c>
      <c r="I480" s="326"/>
      <c r="J480" s="326"/>
      <c r="K480" s="334">
        <f t="shared" si="7"/>
        <v>2631300.7599999998</v>
      </c>
      <c r="L480" s="334">
        <v>2631300.7599999998</v>
      </c>
      <c r="M480" s="334"/>
      <c r="N480" s="334">
        <v>2302798.4300000002</v>
      </c>
      <c r="O480" s="232"/>
      <c r="P480" s="232"/>
      <c r="Q480" s="232"/>
      <c r="R480" s="232"/>
      <c r="S480" s="232"/>
      <c r="T480" s="232"/>
    </row>
    <row r="481" spans="1:20">
      <c r="A481" s="174">
        <v>320</v>
      </c>
      <c r="B481" s="326">
        <v>100</v>
      </c>
      <c r="C481" s="326">
        <v>100</v>
      </c>
      <c r="D481" s="326">
        <v>100</v>
      </c>
      <c r="E481" s="326">
        <v>30</v>
      </c>
      <c r="F481" s="326">
        <v>0</v>
      </c>
      <c r="G481" s="348" t="s">
        <v>2784</v>
      </c>
      <c r="H481" s="331" t="s">
        <v>1109</v>
      </c>
      <c r="I481" s="326"/>
      <c r="J481" s="325"/>
      <c r="K481" s="335">
        <f t="shared" si="7"/>
        <v>0</v>
      </c>
      <c r="L481" s="335">
        <v>0</v>
      </c>
      <c r="M481" s="335"/>
      <c r="N481" s="335">
        <v>0</v>
      </c>
      <c r="O481" s="232"/>
      <c r="P481" s="232"/>
      <c r="Q481" s="232"/>
      <c r="R481" s="232"/>
      <c r="S481" s="232"/>
      <c r="T481" s="232"/>
    </row>
    <row r="482" spans="1:20">
      <c r="A482" s="174">
        <v>320</v>
      </c>
      <c r="B482" s="326">
        <v>100</v>
      </c>
      <c r="C482" s="326">
        <v>100</v>
      </c>
      <c r="D482" s="326">
        <v>100</v>
      </c>
      <c r="E482" s="326">
        <v>30</v>
      </c>
      <c r="F482" s="326">
        <v>5</v>
      </c>
      <c r="G482" s="347" t="s">
        <v>2785</v>
      </c>
      <c r="H482" s="330" t="s">
        <v>1110</v>
      </c>
      <c r="I482" s="326"/>
      <c r="J482" s="326"/>
      <c r="K482" s="334">
        <f t="shared" si="7"/>
        <v>504662.31</v>
      </c>
      <c r="L482" s="334">
        <v>504662.31</v>
      </c>
      <c r="M482" s="334"/>
      <c r="N482" s="334">
        <v>394594.27</v>
      </c>
      <c r="O482" s="232"/>
      <c r="P482" s="232"/>
      <c r="Q482" s="232"/>
      <c r="R482" s="232"/>
      <c r="S482" s="232"/>
      <c r="T482" s="232"/>
    </row>
    <row r="483" spans="1:20">
      <c r="A483" s="174">
        <v>320</v>
      </c>
      <c r="B483" s="326">
        <v>100</v>
      </c>
      <c r="C483" s="326">
        <v>100</v>
      </c>
      <c r="D483" s="326">
        <v>100</v>
      </c>
      <c r="E483" s="326">
        <v>40</v>
      </c>
      <c r="F483" s="326">
        <v>0</v>
      </c>
      <c r="G483" s="348" t="s">
        <v>2786</v>
      </c>
      <c r="H483" s="331" t="s">
        <v>1112</v>
      </c>
      <c r="I483" s="326"/>
      <c r="J483" s="325"/>
      <c r="K483" s="335">
        <f t="shared" si="7"/>
        <v>0</v>
      </c>
      <c r="L483" s="335">
        <v>0</v>
      </c>
      <c r="M483" s="335"/>
      <c r="N483" s="335">
        <v>0</v>
      </c>
      <c r="O483" s="232"/>
      <c r="P483" s="232"/>
      <c r="Q483" s="232"/>
      <c r="R483" s="232"/>
      <c r="S483" s="232"/>
      <c r="T483" s="232"/>
    </row>
    <row r="484" spans="1:20" ht="25.5">
      <c r="A484" s="174">
        <v>320</v>
      </c>
      <c r="B484" s="326">
        <v>100</v>
      </c>
      <c r="C484" s="326">
        <v>100</v>
      </c>
      <c r="D484" s="326">
        <v>100</v>
      </c>
      <c r="E484" s="326">
        <v>40</v>
      </c>
      <c r="F484" s="326">
        <v>5</v>
      </c>
      <c r="G484" s="347" t="s">
        <v>2787</v>
      </c>
      <c r="H484" s="330" t="s">
        <v>1113</v>
      </c>
      <c r="I484" s="326"/>
      <c r="J484" s="326"/>
      <c r="K484" s="334">
        <f t="shared" si="7"/>
        <v>508316.61</v>
      </c>
      <c r="L484" s="334">
        <v>508316.61</v>
      </c>
      <c r="M484" s="334"/>
      <c r="N484" s="334">
        <v>505336.64</v>
      </c>
      <c r="O484" s="232"/>
      <c r="P484" s="232"/>
      <c r="Q484" s="232"/>
      <c r="R484" s="232"/>
      <c r="S484" s="232"/>
      <c r="T484" s="232"/>
    </row>
    <row r="485" spans="1:20">
      <c r="A485" s="174">
        <v>320</v>
      </c>
      <c r="B485" s="326">
        <v>100</v>
      </c>
      <c r="C485" s="326">
        <v>100</v>
      </c>
      <c r="D485" s="326">
        <v>100</v>
      </c>
      <c r="E485" s="326">
        <v>50</v>
      </c>
      <c r="F485" s="326">
        <v>0</v>
      </c>
      <c r="G485" s="348" t="s">
        <v>2788</v>
      </c>
      <c r="H485" s="331" t="s">
        <v>1115</v>
      </c>
      <c r="I485" s="326"/>
      <c r="J485" s="325"/>
      <c r="K485" s="335">
        <f t="shared" si="7"/>
        <v>0</v>
      </c>
      <c r="L485" s="335">
        <v>0</v>
      </c>
      <c r="M485" s="335"/>
      <c r="N485" s="335">
        <v>0</v>
      </c>
      <c r="O485" s="232"/>
      <c r="P485" s="232"/>
      <c r="Q485" s="232"/>
      <c r="R485" s="232"/>
      <c r="S485" s="232"/>
      <c r="T485" s="232"/>
    </row>
    <row r="486" spans="1:20">
      <c r="A486" s="174">
        <v>320</v>
      </c>
      <c r="B486" s="326">
        <v>100</v>
      </c>
      <c r="C486" s="326">
        <v>100</v>
      </c>
      <c r="D486" s="326">
        <v>100</v>
      </c>
      <c r="E486" s="326">
        <v>50</v>
      </c>
      <c r="F486" s="326">
        <v>5</v>
      </c>
      <c r="G486" s="347" t="s">
        <v>2789</v>
      </c>
      <c r="H486" s="330" t="s">
        <v>1116</v>
      </c>
      <c r="I486" s="326"/>
      <c r="J486" s="326"/>
      <c r="K486" s="334">
        <f t="shared" si="7"/>
        <v>0</v>
      </c>
      <c r="L486" s="334">
        <v>0</v>
      </c>
      <c r="M486" s="334"/>
      <c r="N486" s="334">
        <v>0</v>
      </c>
      <c r="O486" s="232"/>
      <c r="P486" s="232"/>
      <c r="Q486" s="232"/>
      <c r="R486" s="232"/>
      <c r="S486" s="232"/>
      <c r="T486" s="232"/>
    </row>
    <row r="487" spans="1:20">
      <c r="A487" s="174">
        <v>320</v>
      </c>
      <c r="B487" s="326">
        <v>100</v>
      </c>
      <c r="C487" s="326">
        <v>100</v>
      </c>
      <c r="D487" s="326">
        <v>100</v>
      </c>
      <c r="E487" s="326">
        <v>50</v>
      </c>
      <c r="F487" s="326">
        <v>10</v>
      </c>
      <c r="G487" s="347" t="s">
        <v>2790</v>
      </c>
      <c r="H487" s="330" t="s">
        <v>1117</v>
      </c>
      <c r="I487" s="326"/>
      <c r="J487" s="326"/>
      <c r="K487" s="334">
        <f t="shared" si="7"/>
        <v>0</v>
      </c>
      <c r="L487" s="334">
        <v>0</v>
      </c>
      <c r="M487" s="334"/>
      <c r="N487" s="334">
        <v>0</v>
      </c>
      <c r="O487" s="232"/>
      <c r="P487" s="232"/>
      <c r="Q487" s="232"/>
      <c r="R487" s="232"/>
      <c r="S487" s="232"/>
      <c r="T487" s="232"/>
    </row>
    <row r="488" spans="1:20">
      <c r="A488" s="174">
        <v>320</v>
      </c>
      <c r="B488" s="326">
        <v>100</v>
      </c>
      <c r="C488" s="326">
        <v>100</v>
      </c>
      <c r="D488" s="326">
        <v>100</v>
      </c>
      <c r="E488" s="326">
        <v>50</v>
      </c>
      <c r="F488" s="326">
        <v>15</v>
      </c>
      <c r="G488" s="347" t="s">
        <v>2791</v>
      </c>
      <c r="H488" s="330" t="s">
        <v>1118</v>
      </c>
      <c r="I488" s="326"/>
      <c r="J488" s="326"/>
      <c r="K488" s="334">
        <f t="shared" si="7"/>
        <v>13141.53</v>
      </c>
      <c r="L488" s="334">
        <v>13141.53</v>
      </c>
      <c r="M488" s="334"/>
      <c r="N488" s="334">
        <v>4860.62</v>
      </c>
      <c r="O488" s="232"/>
      <c r="P488" s="232"/>
      <c r="Q488" s="232"/>
      <c r="R488" s="232"/>
      <c r="S488" s="232"/>
      <c r="T488" s="232"/>
    </row>
    <row r="489" spans="1:20">
      <c r="A489" s="174">
        <v>320</v>
      </c>
      <c r="B489" s="326">
        <v>100</v>
      </c>
      <c r="C489" s="326">
        <v>100</v>
      </c>
      <c r="D489" s="326">
        <v>100</v>
      </c>
      <c r="E489" s="326">
        <v>90</v>
      </c>
      <c r="F489" s="326">
        <v>0</v>
      </c>
      <c r="G489" s="348" t="s">
        <v>2792</v>
      </c>
      <c r="H489" s="331" t="s">
        <v>1120</v>
      </c>
      <c r="I489" s="326"/>
      <c r="J489" s="325"/>
      <c r="K489" s="335">
        <f t="shared" si="7"/>
        <v>0</v>
      </c>
      <c r="L489" s="335">
        <v>0</v>
      </c>
      <c r="M489" s="335"/>
      <c r="N489" s="335">
        <v>0</v>
      </c>
      <c r="O489" s="232"/>
      <c r="P489" s="232"/>
      <c r="Q489" s="232"/>
      <c r="R489" s="232"/>
      <c r="S489" s="232"/>
      <c r="T489" s="232"/>
    </row>
    <row r="490" spans="1:20">
      <c r="A490" s="174">
        <v>320</v>
      </c>
      <c r="B490" s="326">
        <v>100</v>
      </c>
      <c r="C490" s="326">
        <v>100</v>
      </c>
      <c r="D490" s="326">
        <v>100</v>
      </c>
      <c r="E490" s="326">
        <v>90</v>
      </c>
      <c r="F490" s="326">
        <v>5</v>
      </c>
      <c r="G490" s="347" t="s">
        <v>2793</v>
      </c>
      <c r="H490" s="330" t="s">
        <v>1121</v>
      </c>
      <c r="I490" s="326"/>
      <c r="J490" s="326"/>
      <c r="K490" s="334">
        <f t="shared" si="7"/>
        <v>3229346.66</v>
      </c>
      <c r="L490" s="334">
        <v>3229346.66</v>
      </c>
      <c r="M490" s="334"/>
      <c r="N490" s="334">
        <v>2967250.92</v>
      </c>
      <c r="O490" s="232"/>
      <c r="P490" s="232"/>
      <c r="Q490" s="232"/>
      <c r="R490" s="232"/>
      <c r="S490" s="232"/>
      <c r="T490" s="232"/>
    </row>
    <row r="491" spans="1:20">
      <c r="A491" s="174">
        <v>320</v>
      </c>
      <c r="B491" s="326">
        <v>100</v>
      </c>
      <c r="C491" s="326">
        <v>100</v>
      </c>
      <c r="D491" s="326">
        <v>200</v>
      </c>
      <c r="E491" s="326">
        <v>0</v>
      </c>
      <c r="F491" s="326">
        <v>0</v>
      </c>
      <c r="G491" s="331" t="s">
        <v>2794</v>
      </c>
      <c r="H491" s="331" t="s">
        <v>1123</v>
      </c>
      <c r="I491" s="326" t="s">
        <v>1124</v>
      </c>
      <c r="J491" s="325"/>
      <c r="K491" s="335">
        <f t="shared" si="7"/>
        <v>0</v>
      </c>
      <c r="L491" s="335">
        <v>0</v>
      </c>
      <c r="M491" s="335"/>
      <c r="N491" s="335">
        <v>0</v>
      </c>
      <c r="O491" s="232"/>
      <c r="P491" s="232"/>
      <c r="Q491" s="232"/>
      <c r="R491" s="232"/>
      <c r="S491" s="232"/>
      <c r="T491" s="232"/>
    </row>
    <row r="492" spans="1:20">
      <c r="A492" s="174">
        <v>320</v>
      </c>
      <c r="B492" s="326">
        <v>100</v>
      </c>
      <c r="C492" s="326">
        <v>100</v>
      </c>
      <c r="D492" s="326">
        <v>200</v>
      </c>
      <c r="E492" s="326">
        <v>10</v>
      </c>
      <c r="F492" s="326">
        <v>0</v>
      </c>
      <c r="G492" s="347" t="s">
        <v>2795</v>
      </c>
      <c r="H492" s="330" t="s">
        <v>1107</v>
      </c>
      <c r="I492" s="326"/>
      <c r="J492" s="326"/>
      <c r="K492" s="334">
        <f t="shared" si="7"/>
        <v>823857.73</v>
      </c>
      <c r="L492" s="334">
        <v>823857.73</v>
      </c>
      <c r="M492" s="334"/>
      <c r="N492" s="334">
        <v>816811.63</v>
      </c>
      <c r="O492" s="232"/>
      <c r="P492" s="232"/>
      <c r="Q492" s="232"/>
      <c r="R492" s="232"/>
      <c r="S492" s="232"/>
      <c r="T492" s="232"/>
    </row>
    <row r="493" spans="1:20">
      <c r="A493" s="174">
        <v>320</v>
      </c>
      <c r="B493" s="326">
        <v>100</v>
      </c>
      <c r="C493" s="326">
        <v>100</v>
      </c>
      <c r="D493" s="326">
        <v>200</v>
      </c>
      <c r="E493" s="326">
        <v>20</v>
      </c>
      <c r="F493" s="326">
        <v>0</v>
      </c>
      <c r="G493" s="347" t="s">
        <v>2796</v>
      </c>
      <c r="H493" s="330" t="s">
        <v>1108</v>
      </c>
      <c r="I493" s="326"/>
      <c r="J493" s="326"/>
      <c r="K493" s="334">
        <f t="shared" si="7"/>
        <v>186795.53</v>
      </c>
      <c r="L493" s="334">
        <v>186795.53</v>
      </c>
      <c r="M493" s="334"/>
      <c r="N493" s="334">
        <v>163785.18</v>
      </c>
      <c r="O493" s="232"/>
      <c r="P493" s="232"/>
      <c r="Q493" s="232"/>
      <c r="R493" s="232"/>
      <c r="S493" s="232"/>
      <c r="T493" s="232"/>
    </row>
    <row r="494" spans="1:20">
      <c r="A494" s="174">
        <v>320</v>
      </c>
      <c r="B494" s="326">
        <v>100</v>
      </c>
      <c r="C494" s="326">
        <v>100</v>
      </c>
      <c r="D494" s="326">
        <v>200</v>
      </c>
      <c r="E494" s="326">
        <v>30</v>
      </c>
      <c r="F494" s="326">
        <v>0</v>
      </c>
      <c r="G494" s="348" t="s">
        <v>2797</v>
      </c>
      <c r="H494" s="331" t="s">
        <v>1109</v>
      </c>
      <c r="I494" s="326"/>
      <c r="J494" s="325"/>
      <c r="K494" s="335">
        <f t="shared" si="7"/>
        <v>0</v>
      </c>
      <c r="L494" s="335">
        <v>0</v>
      </c>
      <c r="M494" s="335"/>
      <c r="N494" s="335">
        <v>0</v>
      </c>
      <c r="O494" s="232"/>
      <c r="P494" s="232"/>
      <c r="Q494" s="232"/>
      <c r="R494" s="232"/>
      <c r="S494" s="232"/>
      <c r="T494" s="232"/>
    </row>
    <row r="495" spans="1:20">
      <c r="A495" s="174">
        <v>320</v>
      </c>
      <c r="B495" s="326">
        <v>100</v>
      </c>
      <c r="C495" s="326">
        <v>100</v>
      </c>
      <c r="D495" s="326">
        <v>200</v>
      </c>
      <c r="E495" s="326">
        <v>30</v>
      </c>
      <c r="F495" s="326">
        <v>5</v>
      </c>
      <c r="G495" s="347" t="s">
        <v>2798</v>
      </c>
      <c r="H495" s="330" t="s">
        <v>1110</v>
      </c>
      <c r="I495" s="326"/>
      <c r="J495" s="326"/>
      <c r="K495" s="334">
        <f t="shared" si="7"/>
        <v>55226.67</v>
      </c>
      <c r="L495" s="334">
        <v>55226.67</v>
      </c>
      <c r="M495" s="334"/>
      <c r="N495" s="334">
        <v>41889.58</v>
      </c>
      <c r="O495" s="232"/>
      <c r="P495" s="232"/>
      <c r="Q495" s="232"/>
      <c r="R495" s="232"/>
      <c r="S495" s="232"/>
      <c r="T495" s="232"/>
    </row>
    <row r="496" spans="1:20">
      <c r="A496" s="174">
        <v>320</v>
      </c>
      <c r="B496" s="326">
        <v>100</v>
      </c>
      <c r="C496" s="326">
        <v>100</v>
      </c>
      <c r="D496" s="326">
        <v>200</v>
      </c>
      <c r="E496" s="326">
        <v>40</v>
      </c>
      <c r="F496" s="326">
        <v>0</v>
      </c>
      <c r="G496" s="348" t="s">
        <v>2799</v>
      </c>
      <c r="H496" s="331" t="s">
        <v>1112</v>
      </c>
      <c r="I496" s="326"/>
      <c r="J496" s="325"/>
      <c r="K496" s="335">
        <f t="shared" si="7"/>
        <v>0</v>
      </c>
      <c r="L496" s="335">
        <v>0</v>
      </c>
      <c r="M496" s="335"/>
      <c r="N496" s="335">
        <v>0</v>
      </c>
      <c r="O496" s="232"/>
      <c r="P496" s="232"/>
      <c r="Q496" s="232"/>
      <c r="R496" s="232"/>
      <c r="S496" s="232"/>
      <c r="T496" s="232"/>
    </row>
    <row r="497" spans="1:20" ht="25.5">
      <c r="A497" s="174">
        <v>320</v>
      </c>
      <c r="B497" s="326">
        <v>100</v>
      </c>
      <c r="C497" s="326">
        <v>100</v>
      </c>
      <c r="D497" s="326">
        <v>200</v>
      </c>
      <c r="E497" s="326">
        <v>40</v>
      </c>
      <c r="F497" s="326">
        <v>5</v>
      </c>
      <c r="G497" s="347" t="s">
        <v>2800</v>
      </c>
      <c r="H497" s="330" t="s">
        <v>1113</v>
      </c>
      <c r="I497" s="326"/>
      <c r="J497" s="326"/>
      <c r="K497" s="334">
        <f t="shared" si="7"/>
        <v>81936.91</v>
      </c>
      <c r="L497" s="334">
        <v>81936.91</v>
      </c>
      <c r="M497" s="334"/>
      <c r="N497" s="334">
        <v>73143.92</v>
      </c>
      <c r="O497" s="232"/>
      <c r="P497" s="232"/>
      <c r="Q497" s="232"/>
      <c r="R497" s="232"/>
      <c r="S497" s="232"/>
      <c r="T497" s="232"/>
    </row>
    <row r="498" spans="1:20">
      <c r="A498" s="174">
        <v>320</v>
      </c>
      <c r="B498" s="326">
        <v>100</v>
      </c>
      <c r="C498" s="326">
        <v>100</v>
      </c>
      <c r="D498" s="326">
        <v>200</v>
      </c>
      <c r="E498" s="326">
        <v>50</v>
      </c>
      <c r="F498" s="326">
        <v>0</v>
      </c>
      <c r="G498" s="348" t="s">
        <v>2801</v>
      </c>
      <c r="H498" s="331" t="s">
        <v>1115</v>
      </c>
      <c r="I498" s="326"/>
      <c r="J498" s="325"/>
      <c r="K498" s="335">
        <f t="shared" si="7"/>
        <v>0</v>
      </c>
      <c r="L498" s="335">
        <v>0</v>
      </c>
      <c r="M498" s="335"/>
      <c r="N498" s="335">
        <v>0</v>
      </c>
      <c r="O498" s="232"/>
      <c r="P498" s="232"/>
      <c r="Q498" s="232"/>
      <c r="R498" s="232"/>
      <c r="S498" s="232"/>
      <c r="T498" s="232"/>
    </row>
    <row r="499" spans="1:20">
      <c r="A499" s="174">
        <v>320</v>
      </c>
      <c r="B499" s="326">
        <v>100</v>
      </c>
      <c r="C499" s="326">
        <v>100</v>
      </c>
      <c r="D499" s="326">
        <v>200</v>
      </c>
      <c r="E499" s="326">
        <v>50</v>
      </c>
      <c r="F499" s="326">
        <v>5</v>
      </c>
      <c r="G499" s="347" t="s">
        <v>2802</v>
      </c>
      <c r="H499" s="330" t="s">
        <v>1116</v>
      </c>
      <c r="I499" s="326"/>
      <c r="J499" s="326"/>
      <c r="K499" s="334">
        <f t="shared" si="7"/>
        <v>0</v>
      </c>
      <c r="L499" s="334">
        <v>0</v>
      </c>
      <c r="M499" s="334"/>
      <c r="N499" s="334">
        <v>0</v>
      </c>
      <c r="O499" s="232"/>
      <c r="P499" s="232"/>
      <c r="Q499" s="232"/>
      <c r="R499" s="232"/>
      <c r="S499" s="232"/>
      <c r="T499" s="232"/>
    </row>
    <row r="500" spans="1:20">
      <c r="A500" s="174">
        <v>320</v>
      </c>
      <c r="B500" s="326">
        <v>100</v>
      </c>
      <c r="C500" s="326">
        <v>100</v>
      </c>
      <c r="D500" s="326">
        <v>200</v>
      </c>
      <c r="E500" s="326">
        <v>50</v>
      </c>
      <c r="F500" s="326">
        <v>10</v>
      </c>
      <c r="G500" s="347" t="s">
        <v>2803</v>
      </c>
      <c r="H500" s="330" t="s">
        <v>1117</v>
      </c>
      <c r="I500" s="326"/>
      <c r="J500" s="326"/>
      <c r="K500" s="334">
        <f t="shared" si="7"/>
        <v>0</v>
      </c>
      <c r="L500" s="334">
        <v>0</v>
      </c>
      <c r="M500" s="334"/>
      <c r="N500" s="334">
        <v>0</v>
      </c>
      <c r="O500" s="232"/>
      <c r="P500" s="232"/>
      <c r="Q500" s="232"/>
      <c r="R500" s="232"/>
      <c r="S500" s="232"/>
      <c r="T500" s="232"/>
    </row>
    <row r="501" spans="1:20">
      <c r="A501" s="174">
        <v>320</v>
      </c>
      <c r="B501" s="326">
        <v>100</v>
      </c>
      <c r="C501" s="326">
        <v>100</v>
      </c>
      <c r="D501" s="326">
        <v>200</v>
      </c>
      <c r="E501" s="326">
        <v>50</v>
      </c>
      <c r="F501" s="326">
        <v>15</v>
      </c>
      <c r="G501" s="347" t="s">
        <v>2804</v>
      </c>
      <c r="H501" s="330" t="s">
        <v>1118</v>
      </c>
      <c r="I501" s="326"/>
      <c r="J501" s="326"/>
      <c r="K501" s="334">
        <f t="shared" si="7"/>
        <v>34.299999999999997</v>
      </c>
      <c r="L501" s="334">
        <v>34.299999999999997</v>
      </c>
      <c r="M501" s="334"/>
      <c r="N501" s="334">
        <v>0</v>
      </c>
      <c r="O501" s="232"/>
      <c r="P501" s="232"/>
      <c r="Q501" s="232"/>
      <c r="R501" s="232"/>
      <c r="S501" s="232"/>
      <c r="T501" s="232"/>
    </row>
    <row r="502" spans="1:20">
      <c r="A502" s="174">
        <v>320</v>
      </c>
      <c r="B502" s="326">
        <v>100</v>
      </c>
      <c r="C502" s="326">
        <v>100</v>
      </c>
      <c r="D502" s="326">
        <v>200</v>
      </c>
      <c r="E502" s="326">
        <v>90</v>
      </c>
      <c r="F502" s="326">
        <v>0</v>
      </c>
      <c r="G502" s="348" t="s">
        <v>2805</v>
      </c>
      <c r="H502" s="331" t="s">
        <v>1120</v>
      </c>
      <c r="I502" s="326"/>
      <c r="J502" s="325"/>
      <c r="K502" s="335">
        <f t="shared" si="7"/>
        <v>0</v>
      </c>
      <c r="L502" s="335">
        <v>0</v>
      </c>
      <c r="M502" s="335"/>
      <c r="N502" s="335">
        <v>0</v>
      </c>
      <c r="O502" s="232"/>
      <c r="P502" s="232"/>
      <c r="Q502" s="232"/>
      <c r="R502" s="232"/>
      <c r="S502" s="232"/>
      <c r="T502" s="232"/>
    </row>
    <row r="503" spans="1:20">
      <c r="A503" s="174">
        <v>320</v>
      </c>
      <c r="B503" s="326">
        <v>100</v>
      </c>
      <c r="C503" s="326">
        <v>100</v>
      </c>
      <c r="D503" s="326">
        <v>200</v>
      </c>
      <c r="E503" s="326">
        <v>90</v>
      </c>
      <c r="F503" s="326">
        <v>5</v>
      </c>
      <c r="G503" s="347" t="s">
        <v>2806</v>
      </c>
      <c r="H503" s="330" t="s">
        <v>1121</v>
      </c>
      <c r="I503" s="326"/>
      <c r="J503" s="326"/>
      <c r="K503" s="334">
        <f t="shared" si="7"/>
        <v>355375.72</v>
      </c>
      <c r="L503" s="334">
        <v>355375.72</v>
      </c>
      <c r="M503" s="334"/>
      <c r="N503" s="334">
        <v>337292.05</v>
      </c>
      <c r="O503" s="232"/>
      <c r="P503" s="232"/>
      <c r="Q503" s="232"/>
      <c r="R503" s="232"/>
      <c r="S503" s="232"/>
      <c r="T503" s="232"/>
    </row>
    <row r="504" spans="1:20">
      <c r="A504" s="174">
        <v>320</v>
      </c>
      <c r="B504" s="326">
        <v>100</v>
      </c>
      <c r="C504" s="326">
        <v>100</v>
      </c>
      <c r="D504" s="326">
        <v>300</v>
      </c>
      <c r="E504" s="326">
        <v>0</v>
      </c>
      <c r="F504" s="326">
        <v>0</v>
      </c>
      <c r="G504" s="330" t="s">
        <v>2807</v>
      </c>
      <c r="H504" s="330" t="s">
        <v>1125</v>
      </c>
      <c r="I504" s="326" t="s">
        <v>1126</v>
      </c>
      <c r="J504" s="326"/>
      <c r="K504" s="334">
        <f t="shared" si="7"/>
        <v>0</v>
      </c>
      <c r="L504" s="334">
        <v>0</v>
      </c>
      <c r="M504" s="334"/>
      <c r="N504" s="334">
        <v>0</v>
      </c>
      <c r="O504" s="232"/>
      <c r="P504" s="232"/>
      <c r="Q504" s="232"/>
      <c r="R504" s="232"/>
      <c r="S504" s="232"/>
      <c r="T504" s="232"/>
    </row>
    <row r="505" spans="1:20">
      <c r="A505" s="174">
        <v>320</v>
      </c>
      <c r="B505" s="326">
        <v>100</v>
      </c>
      <c r="C505" s="326">
        <v>200</v>
      </c>
      <c r="D505" s="326">
        <v>0</v>
      </c>
      <c r="E505" s="326">
        <v>0</v>
      </c>
      <c r="F505" s="326">
        <v>0</v>
      </c>
      <c r="G505" s="331" t="s">
        <v>2808</v>
      </c>
      <c r="H505" s="331" t="s">
        <v>1127</v>
      </c>
      <c r="I505" s="326" t="s">
        <v>1128</v>
      </c>
      <c r="J505" s="325"/>
      <c r="K505" s="335">
        <f t="shared" si="7"/>
        <v>0</v>
      </c>
      <c r="L505" s="335">
        <v>0</v>
      </c>
      <c r="M505" s="335"/>
      <c r="N505" s="335">
        <v>0</v>
      </c>
      <c r="O505" s="232"/>
      <c r="P505" s="232"/>
      <c r="Q505" s="232"/>
      <c r="R505" s="232"/>
      <c r="S505" s="232"/>
      <c r="T505" s="232"/>
    </row>
    <row r="506" spans="1:20" ht="25.5">
      <c r="A506" s="174">
        <v>320</v>
      </c>
      <c r="B506" s="326">
        <v>100</v>
      </c>
      <c r="C506" s="326">
        <v>200</v>
      </c>
      <c r="D506" s="326">
        <v>100</v>
      </c>
      <c r="E506" s="326">
        <v>0</v>
      </c>
      <c r="F506" s="326">
        <v>0</v>
      </c>
      <c r="G506" s="331" t="s">
        <v>2809</v>
      </c>
      <c r="H506" s="331" t="s">
        <v>1129</v>
      </c>
      <c r="I506" s="326" t="s">
        <v>1130</v>
      </c>
      <c r="J506" s="325"/>
      <c r="K506" s="335">
        <f t="shared" si="7"/>
        <v>0</v>
      </c>
      <c r="L506" s="335">
        <v>0</v>
      </c>
      <c r="M506" s="335"/>
      <c r="N506" s="335">
        <v>0</v>
      </c>
      <c r="O506" s="232"/>
      <c r="P506" s="232"/>
      <c r="Q506" s="232"/>
      <c r="R506" s="232"/>
      <c r="S506" s="232"/>
      <c r="T506" s="232"/>
    </row>
    <row r="507" spans="1:20">
      <c r="A507" s="174">
        <v>320</v>
      </c>
      <c r="B507" s="326">
        <v>100</v>
      </c>
      <c r="C507" s="326">
        <v>200</v>
      </c>
      <c r="D507" s="326">
        <v>100</v>
      </c>
      <c r="E507" s="326">
        <v>10</v>
      </c>
      <c r="F507" s="326">
        <v>0</v>
      </c>
      <c r="G507" s="347" t="s">
        <v>2810</v>
      </c>
      <c r="H507" s="330" t="s">
        <v>1107</v>
      </c>
      <c r="I507" s="326"/>
      <c r="J507" s="326"/>
      <c r="K507" s="334">
        <f t="shared" si="7"/>
        <v>1219246.81</v>
      </c>
      <c r="L507" s="334">
        <v>1219246.81</v>
      </c>
      <c r="M507" s="334"/>
      <c r="N507" s="334">
        <v>1095846.5</v>
      </c>
      <c r="O507" s="232"/>
      <c r="P507" s="232"/>
      <c r="Q507" s="232"/>
      <c r="R507" s="232"/>
      <c r="S507" s="232"/>
      <c r="T507" s="232"/>
    </row>
    <row r="508" spans="1:20">
      <c r="A508" s="174">
        <v>320</v>
      </c>
      <c r="B508" s="326">
        <v>100</v>
      </c>
      <c r="C508" s="326">
        <v>200</v>
      </c>
      <c r="D508" s="326">
        <v>100</v>
      </c>
      <c r="E508" s="326">
        <v>20</v>
      </c>
      <c r="F508" s="326">
        <v>0</v>
      </c>
      <c r="G508" s="347" t="s">
        <v>2811</v>
      </c>
      <c r="H508" s="330" t="s">
        <v>1108</v>
      </c>
      <c r="I508" s="326"/>
      <c r="J508" s="326"/>
      <c r="K508" s="334">
        <f t="shared" si="7"/>
        <v>238714.98</v>
      </c>
      <c r="L508" s="334">
        <v>238714.98</v>
      </c>
      <c r="M508" s="334"/>
      <c r="N508" s="334">
        <v>184679.24</v>
      </c>
      <c r="O508" s="232"/>
      <c r="P508" s="232"/>
      <c r="Q508" s="232"/>
      <c r="R508" s="232"/>
      <c r="S508" s="232"/>
      <c r="T508" s="232"/>
    </row>
    <row r="509" spans="1:20">
      <c r="A509" s="174">
        <v>320</v>
      </c>
      <c r="B509" s="326">
        <v>100</v>
      </c>
      <c r="C509" s="326">
        <v>200</v>
      </c>
      <c r="D509" s="326">
        <v>100</v>
      </c>
      <c r="E509" s="326">
        <v>30</v>
      </c>
      <c r="F509" s="326">
        <v>0</v>
      </c>
      <c r="G509" s="347" t="s">
        <v>2812</v>
      </c>
      <c r="H509" s="330" t="s">
        <v>1131</v>
      </c>
      <c r="I509" s="326"/>
      <c r="J509" s="326"/>
      <c r="K509" s="334">
        <f t="shared" si="7"/>
        <v>85246.55</v>
      </c>
      <c r="L509" s="334">
        <v>85246.55</v>
      </c>
      <c r="M509" s="334"/>
      <c r="N509" s="334">
        <v>58074.54</v>
      </c>
      <c r="O509" s="232"/>
      <c r="P509" s="232"/>
      <c r="Q509" s="232"/>
      <c r="R509" s="232"/>
      <c r="S509" s="232"/>
      <c r="T509" s="232"/>
    </row>
    <row r="510" spans="1:20">
      <c r="A510" s="174">
        <v>320</v>
      </c>
      <c r="B510" s="326">
        <v>100</v>
      </c>
      <c r="C510" s="326">
        <v>200</v>
      </c>
      <c r="D510" s="326">
        <v>100</v>
      </c>
      <c r="E510" s="326">
        <v>40</v>
      </c>
      <c r="F510" s="326">
        <v>0</v>
      </c>
      <c r="G510" s="347" t="s">
        <v>2813</v>
      </c>
      <c r="H510" s="330" t="s">
        <v>1132</v>
      </c>
      <c r="I510" s="326"/>
      <c r="J510" s="326"/>
      <c r="K510" s="334">
        <f t="shared" si="7"/>
        <v>17460.79</v>
      </c>
      <c r="L510" s="334">
        <v>17460.79</v>
      </c>
      <c r="M510" s="334"/>
      <c r="N510" s="334">
        <v>7511.74</v>
      </c>
      <c r="O510" s="232"/>
      <c r="P510" s="232"/>
      <c r="Q510" s="232"/>
      <c r="R510" s="232"/>
      <c r="S510" s="232"/>
      <c r="T510" s="232"/>
    </row>
    <row r="511" spans="1:20">
      <c r="A511" s="174">
        <v>320</v>
      </c>
      <c r="B511" s="326">
        <v>100</v>
      </c>
      <c r="C511" s="326">
        <v>200</v>
      </c>
      <c r="D511" s="326">
        <v>100</v>
      </c>
      <c r="E511" s="326">
        <v>50</v>
      </c>
      <c r="F511" s="326">
        <v>0</v>
      </c>
      <c r="G511" s="348" t="s">
        <v>2814</v>
      </c>
      <c r="H511" s="331" t="s">
        <v>1133</v>
      </c>
      <c r="I511" s="326"/>
      <c r="J511" s="325"/>
      <c r="K511" s="335">
        <f t="shared" si="7"/>
        <v>0</v>
      </c>
      <c r="L511" s="335">
        <v>0</v>
      </c>
      <c r="M511" s="335"/>
      <c r="N511" s="335">
        <v>0</v>
      </c>
      <c r="O511" s="232"/>
      <c r="P511" s="232"/>
      <c r="Q511" s="232"/>
      <c r="R511" s="232"/>
      <c r="S511" s="232"/>
      <c r="T511" s="232"/>
    </row>
    <row r="512" spans="1:20">
      <c r="A512" s="174">
        <v>320</v>
      </c>
      <c r="B512" s="326">
        <v>100</v>
      </c>
      <c r="C512" s="326">
        <v>200</v>
      </c>
      <c r="D512" s="326">
        <v>100</v>
      </c>
      <c r="E512" s="326">
        <v>50</v>
      </c>
      <c r="F512" s="326">
        <v>5</v>
      </c>
      <c r="G512" s="347" t="s">
        <v>2815</v>
      </c>
      <c r="H512" s="330" t="s">
        <v>1116</v>
      </c>
      <c r="I512" s="326"/>
      <c r="J512" s="326"/>
      <c r="K512" s="334">
        <f t="shared" si="7"/>
        <v>0</v>
      </c>
      <c r="L512" s="334">
        <v>0</v>
      </c>
      <c r="M512" s="334"/>
      <c r="N512" s="334">
        <v>0</v>
      </c>
      <c r="O512" s="232"/>
      <c r="P512" s="232"/>
      <c r="Q512" s="232"/>
      <c r="R512" s="232"/>
      <c r="S512" s="232"/>
      <c r="T512" s="232"/>
    </row>
    <row r="513" spans="1:20">
      <c r="A513" s="174">
        <v>320</v>
      </c>
      <c r="B513" s="326">
        <v>100</v>
      </c>
      <c r="C513" s="326">
        <v>200</v>
      </c>
      <c r="D513" s="326">
        <v>100</v>
      </c>
      <c r="E513" s="326">
        <v>50</v>
      </c>
      <c r="F513" s="326">
        <v>10</v>
      </c>
      <c r="G513" s="347" t="s">
        <v>2816</v>
      </c>
      <c r="H513" s="330" t="s">
        <v>1117</v>
      </c>
      <c r="I513" s="326"/>
      <c r="J513" s="326"/>
      <c r="K513" s="334">
        <f t="shared" si="7"/>
        <v>0</v>
      </c>
      <c r="L513" s="334">
        <v>0</v>
      </c>
      <c r="M513" s="334"/>
      <c r="N513" s="334">
        <v>0</v>
      </c>
      <c r="O513" s="232"/>
      <c r="P513" s="232"/>
      <c r="Q513" s="232"/>
      <c r="R513" s="232"/>
      <c r="S513" s="232"/>
      <c r="T513" s="232"/>
    </row>
    <row r="514" spans="1:20">
      <c r="A514" s="174">
        <v>320</v>
      </c>
      <c r="B514" s="326">
        <v>100</v>
      </c>
      <c r="C514" s="326">
        <v>200</v>
      </c>
      <c r="D514" s="326">
        <v>100</v>
      </c>
      <c r="E514" s="326">
        <v>50</v>
      </c>
      <c r="F514" s="326">
        <v>15</v>
      </c>
      <c r="G514" s="347" t="s">
        <v>2817</v>
      </c>
      <c r="H514" s="330" t="s">
        <v>1134</v>
      </c>
      <c r="I514" s="326"/>
      <c r="J514" s="326"/>
      <c r="K514" s="334">
        <f t="shared" si="7"/>
        <v>31894.77</v>
      </c>
      <c r="L514" s="334">
        <v>31894.77</v>
      </c>
      <c r="M514" s="334"/>
      <c r="N514" s="334">
        <v>7942.6</v>
      </c>
      <c r="O514" s="232"/>
      <c r="P514" s="232"/>
      <c r="Q514" s="232"/>
      <c r="R514" s="232"/>
      <c r="S514" s="232"/>
      <c r="T514" s="232"/>
    </row>
    <row r="515" spans="1:20">
      <c r="A515" s="174">
        <v>320</v>
      </c>
      <c r="B515" s="326">
        <v>100</v>
      </c>
      <c r="C515" s="326">
        <v>200</v>
      </c>
      <c r="D515" s="326">
        <v>100</v>
      </c>
      <c r="E515" s="326">
        <v>90</v>
      </c>
      <c r="F515" s="326">
        <v>0</v>
      </c>
      <c r="G515" s="347" t="s">
        <v>2818</v>
      </c>
      <c r="H515" s="330" t="s">
        <v>1135</v>
      </c>
      <c r="I515" s="326"/>
      <c r="J515" s="326"/>
      <c r="K515" s="334">
        <f t="shared" si="7"/>
        <v>457508.43</v>
      </c>
      <c r="L515" s="334">
        <v>457508.43</v>
      </c>
      <c r="M515" s="334"/>
      <c r="N515" s="334">
        <v>396108.93</v>
      </c>
      <c r="O515" s="232"/>
      <c r="P515" s="232"/>
      <c r="Q515" s="232"/>
      <c r="R515" s="232"/>
      <c r="S515" s="232"/>
      <c r="T515" s="232"/>
    </row>
    <row r="516" spans="1:20" ht="25.5">
      <c r="A516" s="174">
        <v>320</v>
      </c>
      <c r="B516" s="326">
        <v>100</v>
      </c>
      <c r="C516" s="326">
        <v>200</v>
      </c>
      <c r="D516" s="326">
        <v>200</v>
      </c>
      <c r="E516" s="326">
        <v>0</v>
      </c>
      <c r="F516" s="326">
        <v>0</v>
      </c>
      <c r="G516" s="331" t="s">
        <v>2819</v>
      </c>
      <c r="H516" s="331" t="s">
        <v>1136</v>
      </c>
      <c r="I516" s="326" t="s">
        <v>1137</v>
      </c>
      <c r="J516" s="325"/>
      <c r="K516" s="335">
        <f t="shared" si="7"/>
        <v>0</v>
      </c>
      <c r="L516" s="335">
        <v>0</v>
      </c>
      <c r="M516" s="335"/>
      <c r="N516" s="335">
        <v>0</v>
      </c>
      <c r="O516" s="232"/>
      <c r="P516" s="232"/>
      <c r="Q516" s="232"/>
      <c r="R516" s="232"/>
      <c r="S516" s="232"/>
      <c r="T516" s="232"/>
    </row>
    <row r="517" spans="1:20">
      <c r="A517" s="174">
        <v>320</v>
      </c>
      <c r="B517" s="326">
        <v>100</v>
      </c>
      <c r="C517" s="326">
        <v>200</v>
      </c>
      <c r="D517" s="326">
        <v>200</v>
      </c>
      <c r="E517" s="326">
        <v>10</v>
      </c>
      <c r="F517" s="326">
        <v>0</v>
      </c>
      <c r="G517" s="347" t="s">
        <v>2820</v>
      </c>
      <c r="H517" s="330" t="s">
        <v>1107</v>
      </c>
      <c r="I517" s="326"/>
      <c r="J517" s="326"/>
      <c r="K517" s="334">
        <f t="shared" si="7"/>
        <v>81538.28</v>
      </c>
      <c r="L517" s="334">
        <v>81538.28</v>
      </c>
      <c r="M517" s="334"/>
      <c r="N517" s="334">
        <v>71677.679999999993</v>
      </c>
      <c r="O517" s="232"/>
      <c r="P517" s="232"/>
      <c r="Q517" s="232"/>
      <c r="R517" s="232"/>
      <c r="S517" s="232"/>
      <c r="T517" s="232"/>
    </row>
    <row r="518" spans="1:20">
      <c r="A518" s="174">
        <v>320</v>
      </c>
      <c r="B518" s="326">
        <v>100</v>
      </c>
      <c r="C518" s="326">
        <v>200</v>
      </c>
      <c r="D518" s="326">
        <v>200</v>
      </c>
      <c r="E518" s="326">
        <v>20</v>
      </c>
      <c r="F518" s="326">
        <v>0</v>
      </c>
      <c r="G518" s="347" t="s">
        <v>2821</v>
      </c>
      <c r="H518" s="330" t="s">
        <v>1108</v>
      </c>
      <c r="I518" s="326"/>
      <c r="J518" s="326"/>
      <c r="K518" s="334">
        <f t="shared" si="7"/>
        <v>6372.12</v>
      </c>
      <c r="L518" s="334">
        <v>6372.12</v>
      </c>
      <c r="M518" s="334"/>
      <c r="N518" s="334">
        <v>2197.59</v>
      </c>
      <c r="O518" s="232"/>
      <c r="P518" s="232"/>
      <c r="Q518" s="232"/>
      <c r="R518" s="232"/>
      <c r="S518" s="232"/>
      <c r="T518" s="232"/>
    </row>
    <row r="519" spans="1:20">
      <c r="A519" s="174">
        <v>320</v>
      </c>
      <c r="B519" s="326">
        <v>100</v>
      </c>
      <c r="C519" s="326">
        <v>200</v>
      </c>
      <c r="D519" s="326">
        <v>200</v>
      </c>
      <c r="E519" s="326">
        <v>30</v>
      </c>
      <c r="F519" s="326">
        <v>0</v>
      </c>
      <c r="G519" s="347" t="s">
        <v>2822</v>
      </c>
      <c r="H519" s="330" t="s">
        <v>1131</v>
      </c>
      <c r="I519" s="326"/>
      <c r="J519" s="326"/>
      <c r="K519" s="334">
        <f t="shared" ref="K519:K608" si="8">+L519+M519</f>
        <v>6620.58</v>
      </c>
      <c r="L519" s="334">
        <v>6620.58</v>
      </c>
      <c r="M519" s="334"/>
      <c r="N519" s="334">
        <v>4739.55</v>
      </c>
      <c r="O519" s="232"/>
      <c r="P519" s="232"/>
      <c r="Q519" s="232"/>
      <c r="R519" s="232"/>
      <c r="S519" s="232"/>
      <c r="T519" s="232"/>
    </row>
    <row r="520" spans="1:20">
      <c r="A520" s="174">
        <v>320</v>
      </c>
      <c r="B520" s="326">
        <v>100</v>
      </c>
      <c r="C520" s="326">
        <v>200</v>
      </c>
      <c r="D520" s="326">
        <v>200</v>
      </c>
      <c r="E520" s="326">
        <v>40</v>
      </c>
      <c r="F520" s="326">
        <v>0</v>
      </c>
      <c r="G520" s="347" t="s">
        <v>2823</v>
      </c>
      <c r="H520" s="330" t="s">
        <v>1132</v>
      </c>
      <c r="I520" s="326"/>
      <c r="J520" s="326"/>
      <c r="K520" s="334">
        <f t="shared" si="8"/>
        <v>2482.3200000000002</v>
      </c>
      <c r="L520" s="334">
        <v>2482.3200000000002</v>
      </c>
      <c r="M520" s="334"/>
      <c r="N520" s="334">
        <v>5157.46</v>
      </c>
      <c r="O520" s="232"/>
      <c r="P520" s="232"/>
      <c r="Q520" s="232"/>
      <c r="R520" s="232"/>
      <c r="S520" s="232"/>
      <c r="T520" s="232"/>
    </row>
    <row r="521" spans="1:20">
      <c r="A521" s="174">
        <v>320</v>
      </c>
      <c r="B521" s="326">
        <v>100</v>
      </c>
      <c r="C521" s="326">
        <v>200</v>
      </c>
      <c r="D521" s="326">
        <v>200</v>
      </c>
      <c r="E521" s="326">
        <v>50</v>
      </c>
      <c r="F521" s="326">
        <v>0</v>
      </c>
      <c r="G521" s="348" t="s">
        <v>2824</v>
      </c>
      <c r="H521" s="331" t="s">
        <v>1133</v>
      </c>
      <c r="I521" s="326"/>
      <c r="J521" s="325"/>
      <c r="K521" s="335">
        <f t="shared" si="8"/>
        <v>0</v>
      </c>
      <c r="L521" s="335">
        <v>0</v>
      </c>
      <c r="M521" s="335"/>
      <c r="N521" s="335">
        <v>0</v>
      </c>
      <c r="O521" s="232"/>
      <c r="P521" s="232"/>
      <c r="Q521" s="232"/>
      <c r="R521" s="232"/>
      <c r="S521" s="232"/>
      <c r="T521" s="232"/>
    </row>
    <row r="522" spans="1:20">
      <c r="A522" s="174">
        <v>320</v>
      </c>
      <c r="B522" s="326">
        <v>100</v>
      </c>
      <c r="C522" s="326">
        <v>200</v>
      </c>
      <c r="D522" s="326">
        <v>200</v>
      </c>
      <c r="E522" s="326">
        <v>50</v>
      </c>
      <c r="F522" s="326">
        <v>5</v>
      </c>
      <c r="G522" s="347" t="s">
        <v>2825</v>
      </c>
      <c r="H522" s="330" t="s">
        <v>1116</v>
      </c>
      <c r="I522" s="326"/>
      <c r="J522" s="326"/>
      <c r="K522" s="334">
        <f t="shared" si="8"/>
        <v>0</v>
      </c>
      <c r="L522" s="334">
        <v>0</v>
      </c>
      <c r="M522" s="334"/>
      <c r="N522" s="334">
        <v>0</v>
      </c>
      <c r="O522" s="232"/>
      <c r="P522" s="232"/>
      <c r="Q522" s="232"/>
      <c r="R522" s="232"/>
      <c r="S522" s="232"/>
      <c r="T522" s="232"/>
    </row>
    <row r="523" spans="1:20">
      <c r="A523" s="174">
        <v>320</v>
      </c>
      <c r="B523" s="326">
        <v>100</v>
      </c>
      <c r="C523" s="326">
        <v>200</v>
      </c>
      <c r="D523" s="326">
        <v>200</v>
      </c>
      <c r="E523" s="326">
        <v>50</v>
      </c>
      <c r="F523" s="326">
        <v>10</v>
      </c>
      <c r="G523" s="347" t="s">
        <v>2826</v>
      </c>
      <c r="H523" s="330" t="s">
        <v>1117</v>
      </c>
      <c r="I523" s="326"/>
      <c r="J523" s="326"/>
      <c r="K523" s="334">
        <f t="shared" si="8"/>
        <v>0</v>
      </c>
      <c r="L523" s="334">
        <v>0</v>
      </c>
      <c r="M523" s="334"/>
      <c r="N523" s="334">
        <v>0</v>
      </c>
      <c r="O523" s="232"/>
      <c r="P523" s="232"/>
      <c r="Q523" s="232"/>
      <c r="R523" s="232"/>
      <c r="S523" s="232"/>
      <c r="T523" s="232"/>
    </row>
    <row r="524" spans="1:20">
      <c r="A524" s="174">
        <v>320</v>
      </c>
      <c r="B524" s="326">
        <v>100</v>
      </c>
      <c r="C524" s="326">
        <v>200</v>
      </c>
      <c r="D524" s="326">
        <v>200</v>
      </c>
      <c r="E524" s="326">
        <v>50</v>
      </c>
      <c r="F524" s="326">
        <v>15</v>
      </c>
      <c r="G524" s="347" t="s">
        <v>2827</v>
      </c>
      <c r="H524" s="330" t="s">
        <v>1134</v>
      </c>
      <c r="I524" s="326"/>
      <c r="J524" s="326"/>
      <c r="K524" s="334">
        <f t="shared" si="8"/>
        <v>0</v>
      </c>
      <c r="L524" s="334">
        <v>0</v>
      </c>
      <c r="M524" s="334"/>
      <c r="N524" s="334">
        <v>0</v>
      </c>
      <c r="O524" s="232"/>
      <c r="P524" s="232"/>
      <c r="Q524" s="232"/>
      <c r="R524" s="232"/>
      <c r="S524" s="232"/>
      <c r="T524" s="232"/>
    </row>
    <row r="525" spans="1:20">
      <c r="A525" s="174">
        <v>320</v>
      </c>
      <c r="B525" s="326">
        <v>100</v>
      </c>
      <c r="C525" s="326">
        <v>200</v>
      </c>
      <c r="D525" s="326">
        <v>200</v>
      </c>
      <c r="E525" s="326">
        <v>90</v>
      </c>
      <c r="F525" s="326">
        <v>0</v>
      </c>
      <c r="G525" s="347" t="s">
        <v>2828</v>
      </c>
      <c r="H525" s="330" t="s">
        <v>1135</v>
      </c>
      <c r="I525" s="326"/>
      <c r="J525" s="326"/>
      <c r="K525" s="334">
        <f t="shared" si="8"/>
        <v>30109.15</v>
      </c>
      <c r="L525" s="334">
        <v>30109.15</v>
      </c>
      <c r="M525" s="334"/>
      <c r="N525" s="334">
        <v>25384.63</v>
      </c>
      <c r="O525" s="232"/>
      <c r="P525" s="232"/>
      <c r="Q525" s="232"/>
      <c r="R525" s="232"/>
      <c r="S525" s="232"/>
      <c r="T525" s="232"/>
    </row>
    <row r="526" spans="1:20">
      <c r="A526" s="174">
        <v>320</v>
      </c>
      <c r="B526" s="326">
        <v>100</v>
      </c>
      <c r="C526" s="326">
        <v>200</v>
      </c>
      <c r="D526" s="326">
        <v>300</v>
      </c>
      <c r="E526" s="326">
        <v>0</v>
      </c>
      <c r="F526" s="326">
        <v>0</v>
      </c>
      <c r="G526" s="330" t="s">
        <v>2829</v>
      </c>
      <c r="H526" s="330" t="s">
        <v>1125</v>
      </c>
      <c r="I526" s="326" t="s">
        <v>1138</v>
      </c>
      <c r="J526" s="326"/>
      <c r="K526" s="334">
        <f t="shared" si="8"/>
        <v>0</v>
      </c>
      <c r="L526" s="334">
        <v>0</v>
      </c>
      <c r="M526" s="334"/>
      <c r="N526" s="334">
        <v>0</v>
      </c>
      <c r="O526" s="232"/>
      <c r="P526" s="232"/>
      <c r="Q526" s="232"/>
      <c r="R526" s="232"/>
      <c r="S526" s="232"/>
      <c r="T526" s="232"/>
    </row>
    <row r="527" spans="1:20">
      <c r="A527" s="174">
        <v>320</v>
      </c>
      <c r="B527" s="326">
        <v>200</v>
      </c>
      <c r="C527" s="326">
        <v>0</v>
      </c>
      <c r="D527" s="326">
        <v>0</v>
      </c>
      <c r="E527" s="326">
        <v>0</v>
      </c>
      <c r="F527" s="326">
        <v>0</v>
      </c>
      <c r="G527" s="331" t="s">
        <v>2830</v>
      </c>
      <c r="H527" s="331" t="s">
        <v>1139</v>
      </c>
      <c r="I527" s="326" t="s">
        <v>1140</v>
      </c>
      <c r="J527" s="325"/>
      <c r="K527" s="335">
        <f t="shared" si="8"/>
        <v>0</v>
      </c>
      <c r="L527" s="335">
        <v>0</v>
      </c>
      <c r="M527" s="335"/>
      <c r="N527" s="335">
        <v>0</v>
      </c>
      <c r="O527" s="232"/>
      <c r="P527" s="232"/>
      <c r="Q527" s="232"/>
      <c r="R527" s="232"/>
      <c r="S527" s="232"/>
      <c r="T527" s="232"/>
    </row>
    <row r="528" spans="1:20" ht="25.5">
      <c r="A528" s="174">
        <v>320</v>
      </c>
      <c r="B528" s="326">
        <v>200</v>
      </c>
      <c r="C528" s="326">
        <v>100</v>
      </c>
      <c r="D528" s="326">
        <v>0</v>
      </c>
      <c r="E528" s="326">
        <v>0</v>
      </c>
      <c r="F528" s="326">
        <v>0</v>
      </c>
      <c r="G528" s="331" t="s">
        <v>2831</v>
      </c>
      <c r="H528" s="331" t="s">
        <v>1141</v>
      </c>
      <c r="I528" s="326" t="s">
        <v>1142</v>
      </c>
      <c r="J528" s="325"/>
      <c r="K528" s="335">
        <f t="shared" si="8"/>
        <v>0</v>
      </c>
      <c r="L528" s="335">
        <v>0</v>
      </c>
      <c r="M528" s="335"/>
      <c r="N528" s="335">
        <v>0</v>
      </c>
      <c r="O528" s="232"/>
      <c r="P528" s="232"/>
      <c r="Q528" s="232"/>
      <c r="R528" s="232"/>
      <c r="S528" s="232"/>
      <c r="T528" s="232"/>
    </row>
    <row r="529" spans="1:20">
      <c r="A529" s="174">
        <v>320</v>
      </c>
      <c r="B529" s="326">
        <v>200</v>
      </c>
      <c r="C529" s="326">
        <v>100</v>
      </c>
      <c r="D529" s="326">
        <v>100</v>
      </c>
      <c r="E529" s="326">
        <v>0</v>
      </c>
      <c r="F529" s="326">
        <v>0</v>
      </c>
      <c r="G529" s="347" t="s">
        <v>2832</v>
      </c>
      <c r="H529" s="330" t="s">
        <v>1107</v>
      </c>
      <c r="I529" s="326"/>
      <c r="J529" s="326"/>
      <c r="K529" s="334">
        <f t="shared" si="8"/>
        <v>9200840.9600000009</v>
      </c>
      <c r="L529" s="334">
        <v>9200840.9600000009</v>
      </c>
      <c r="M529" s="334"/>
      <c r="N529" s="334">
        <v>8888213.9600000009</v>
      </c>
      <c r="O529" s="232"/>
      <c r="P529" s="232"/>
      <c r="Q529" s="232"/>
      <c r="R529" s="232"/>
      <c r="S529" s="232"/>
      <c r="T529" s="232"/>
    </row>
    <row r="530" spans="1:20">
      <c r="A530" s="174">
        <v>320</v>
      </c>
      <c r="B530" s="326">
        <v>200</v>
      </c>
      <c r="C530" s="326">
        <v>100</v>
      </c>
      <c r="D530" s="326">
        <v>200</v>
      </c>
      <c r="E530" s="326">
        <v>0</v>
      </c>
      <c r="F530" s="326">
        <v>0</v>
      </c>
      <c r="G530" s="347" t="s">
        <v>2833</v>
      </c>
      <c r="H530" s="330" t="s">
        <v>1143</v>
      </c>
      <c r="I530" s="326"/>
      <c r="J530" s="326"/>
      <c r="K530" s="334">
        <f t="shared" si="8"/>
        <v>110036.26</v>
      </c>
      <c r="L530" s="334">
        <v>110036.26</v>
      </c>
      <c r="M530" s="334"/>
      <c r="N530" s="334">
        <v>134746.34</v>
      </c>
      <c r="O530" s="232"/>
      <c r="P530" s="232"/>
      <c r="Q530" s="232"/>
      <c r="R530" s="232"/>
      <c r="S530" s="232"/>
      <c r="T530" s="232"/>
    </row>
    <row r="531" spans="1:20">
      <c r="A531" s="174">
        <v>320</v>
      </c>
      <c r="B531" s="326">
        <v>200</v>
      </c>
      <c r="C531" s="326">
        <v>100</v>
      </c>
      <c r="D531" s="326">
        <v>300</v>
      </c>
      <c r="E531" s="326">
        <v>0</v>
      </c>
      <c r="F531" s="326">
        <v>0</v>
      </c>
      <c r="G531" s="347" t="s">
        <v>2834</v>
      </c>
      <c r="H531" s="330" t="s">
        <v>1144</v>
      </c>
      <c r="I531" s="326"/>
      <c r="J531" s="326"/>
      <c r="K531" s="334">
        <f t="shared" si="8"/>
        <v>138246.21</v>
      </c>
      <c r="L531" s="334">
        <v>138246.21</v>
      </c>
      <c r="M531" s="334"/>
      <c r="N531" s="334">
        <v>140000.69</v>
      </c>
      <c r="O531" s="232"/>
      <c r="P531" s="232"/>
      <c r="Q531" s="232"/>
      <c r="R531" s="232"/>
      <c r="S531" s="232"/>
      <c r="T531" s="232"/>
    </row>
    <row r="532" spans="1:20">
      <c r="A532" s="174">
        <v>320</v>
      </c>
      <c r="B532" s="326">
        <v>200</v>
      </c>
      <c r="C532" s="326">
        <v>100</v>
      </c>
      <c r="D532" s="326">
        <v>301</v>
      </c>
      <c r="E532" s="326">
        <v>0</v>
      </c>
      <c r="F532" s="326">
        <v>0</v>
      </c>
      <c r="G532" s="347" t="s">
        <v>2263</v>
      </c>
      <c r="H532" s="330" t="s">
        <v>2264</v>
      </c>
      <c r="I532" s="326"/>
      <c r="J532" s="326"/>
      <c r="K532" s="334">
        <f t="shared" si="8"/>
        <v>532620.01</v>
      </c>
      <c r="L532" s="334">
        <v>532620.01</v>
      </c>
      <c r="M532" s="334"/>
      <c r="N532" s="334">
        <v>532360.41</v>
      </c>
      <c r="O532" s="232"/>
      <c r="P532" s="232"/>
      <c r="Q532" s="232"/>
      <c r="R532" s="232"/>
      <c r="S532" s="232"/>
      <c r="T532" s="232"/>
    </row>
    <row r="533" spans="1:20">
      <c r="A533" s="174">
        <v>320</v>
      </c>
      <c r="B533" s="326">
        <v>200</v>
      </c>
      <c r="C533" s="326">
        <v>100</v>
      </c>
      <c r="D533" s="326">
        <v>302</v>
      </c>
      <c r="E533" s="326">
        <v>0</v>
      </c>
      <c r="F533" s="326">
        <v>0</v>
      </c>
      <c r="G533" s="347" t="s">
        <v>2265</v>
      </c>
      <c r="H533" s="330" t="s">
        <v>2266</v>
      </c>
      <c r="I533" s="326"/>
      <c r="J533" s="326"/>
      <c r="K533" s="334">
        <f t="shared" si="8"/>
        <v>1063500.25</v>
      </c>
      <c r="L533" s="334">
        <v>1063500.25</v>
      </c>
      <c r="M533" s="334"/>
      <c r="N533" s="334">
        <v>1084420.1399999999</v>
      </c>
      <c r="O533" s="232"/>
      <c r="P533" s="232"/>
      <c r="Q533" s="232"/>
      <c r="R533" s="232"/>
      <c r="S533" s="232"/>
      <c r="T533" s="232"/>
    </row>
    <row r="534" spans="1:20">
      <c r="A534" s="174">
        <v>320</v>
      </c>
      <c r="B534" s="326">
        <v>200</v>
      </c>
      <c r="C534" s="326">
        <v>100</v>
      </c>
      <c r="D534" s="326">
        <v>400</v>
      </c>
      <c r="E534" s="326">
        <v>0</v>
      </c>
      <c r="F534" s="326">
        <v>0</v>
      </c>
      <c r="G534" s="347" t="s">
        <v>2835</v>
      </c>
      <c r="H534" s="330" t="s">
        <v>1145</v>
      </c>
      <c r="I534" s="326"/>
      <c r="J534" s="326"/>
      <c r="K534" s="334">
        <f t="shared" si="8"/>
        <v>759779.31</v>
      </c>
      <c r="L534" s="334">
        <v>759779.31</v>
      </c>
      <c r="M534" s="334"/>
      <c r="N534" s="334">
        <v>613444.43000000005</v>
      </c>
      <c r="O534" s="232"/>
      <c r="P534" s="232"/>
      <c r="Q534" s="232"/>
      <c r="R534" s="232"/>
      <c r="S534" s="232"/>
      <c r="T534" s="232"/>
    </row>
    <row r="535" spans="1:20">
      <c r="A535" s="174">
        <v>320</v>
      </c>
      <c r="B535" s="326">
        <v>200</v>
      </c>
      <c r="C535" s="326">
        <v>100</v>
      </c>
      <c r="D535" s="326">
        <v>500</v>
      </c>
      <c r="E535" s="326">
        <v>0</v>
      </c>
      <c r="F535" s="326">
        <v>0</v>
      </c>
      <c r="G535" s="347" t="s">
        <v>2836</v>
      </c>
      <c r="H535" s="330" t="s">
        <v>1132</v>
      </c>
      <c r="I535" s="326"/>
      <c r="J535" s="326"/>
      <c r="K535" s="334">
        <f t="shared" si="8"/>
        <v>865742.27</v>
      </c>
      <c r="L535" s="334">
        <v>865742.27</v>
      </c>
      <c r="M535" s="334"/>
      <c r="N535" s="334">
        <v>700553.1</v>
      </c>
      <c r="O535" s="232"/>
      <c r="P535" s="232"/>
      <c r="Q535" s="232"/>
      <c r="R535" s="232"/>
      <c r="S535" s="232"/>
      <c r="T535" s="232"/>
    </row>
    <row r="536" spans="1:20">
      <c r="A536" s="174">
        <v>320</v>
      </c>
      <c r="B536" s="326">
        <v>200</v>
      </c>
      <c r="C536" s="326">
        <v>100</v>
      </c>
      <c r="D536" s="326">
        <v>600</v>
      </c>
      <c r="E536" s="326">
        <v>0</v>
      </c>
      <c r="F536" s="326">
        <v>0</v>
      </c>
      <c r="G536" s="348" t="s">
        <v>2837</v>
      </c>
      <c r="H536" s="331" t="s">
        <v>1115</v>
      </c>
      <c r="I536" s="326"/>
      <c r="J536" s="326"/>
      <c r="K536" s="334">
        <f t="shared" si="8"/>
        <v>0</v>
      </c>
      <c r="L536" s="334">
        <v>0</v>
      </c>
      <c r="M536" s="334"/>
      <c r="N536" s="334">
        <v>0</v>
      </c>
      <c r="O536" s="232"/>
      <c r="P536" s="232"/>
      <c r="Q536" s="232"/>
      <c r="R536" s="232"/>
      <c r="S536" s="232"/>
      <c r="T536" s="232"/>
    </row>
    <row r="537" spans="1:20">
      <c r="A537" s="174">
        <v>320</v>
      </c>
      <c r="B537" s="326">
        <v>200</v>
      </c>
      <c r="C537" s="326">
        <v>100</v>
      </c>
      <c r="D537" s="326">
        <v>600</v>
      </c>
      <c r="E537" s="326">
        <v>5</v>
      </c>
      <c r="F537" s="326">
        <v>0</v>
      </c>
      <c r="G537" s="347" t="s">
        <v>2838</v>
      </c>
      <c r="H537" s="330" t="s">
        <v>1116</v>
      </c>
      <c r="I537" s="326"/>
      <c r="J537" s="326"/>
      <c r="K537" s="334">
        <f t="shared" si="8"/>
        <v>0</v>
      </c>
      <c r="L537" s="334">
        <v>0</v>
      </c>
      <c r="M537" s="334"/>
      <c r="N537" s="334">
        <v>0</v>
      </c>
      <c r="O537" s="232"/>
      <c r="P537" s="232"/>
      <c r="Q537" s="232"/>
      <c r="R537" s="232"/>
      <c r="S537" s="232"/>
      <c r="T537" s="232"/>
    </row>
    <row r="538" spans="1:20">
      <c r="A538" s="174">
        <v>320</v>
      </c>
      <c r="B538" s="326">
        <v>200</v>
      </c>
      <c r="C538" s="326">
        <v>100</v>
      </c>
      <c r="D538" s="326">
        <v>600</v>
      </c>
      <c r="E538" s="326">
        <v>10</v>
      </c>
      <c r="F538" s="326">
        <v>0</v>
      </c>
      <c r="G538" s="347" t="s">
        <v>2839</v>
      </c>
      <c r="H538" s="330" t="s">
        <v>1117</v>
      </c>
      <c r="I538" s="326"/>
      <c r="J538" s="326"/>
      <c r="K538" s="334">
        <f t="shared" si="8"/>
        <v>0</v>
      </c>
      <c r="L538" s="334">
        <v>0</v>
      </c>
      <c r="M538" s="334"/>
      <c r="N538" s="334">
        <v>0</v>
      </c>
      <c r="O538" s="232"/>
      <c r="P538" s="232"/>
      <c r="Q538" s="232"/>
      <c r="R538" s="232"/>
      <c r="S538" s="232"/>
      <c r="T538" s="232"/>
    </row>
    <row r="539" spans="1:20">
      <c r="A539" s="174">
        <v>320</v>
      </c>
      <c r="B539" s="326">
        <v>200</v>
      </c>
      <c r="C539" s="326">
        <v>100</v>
      </c>
      <c r="D539" s="326">
        <v>600</v>
      </c>
      <c r="E539" s="326">
        <v>15</v>
      </c>
      <c r="F539" s="326">
        <v>0</v>
      </c>
      <c r="G539" s="347" t="s">
        <v>2840</v>
      </c>
      <c r="H539" s="330" t="s">
        <v>1146</v>
      </c>
      <c r="I539" s="326"/>
      <c r="J539" s="326"/>
      <c r="K539" s="334">
        <f t="shared" si="8"/>
        <v>7119.76</v>
      </c>
      <c r="L539" s="334">
        <v>7119.76</v>
      </c>
      <c r="M539" s="334"/>
      <c r="N539" s="334">
        <v>1694.18</v>
      </c>
      <c r="O539" s="232"/>
      <c r="P539" s="232"/>
      <c r="Q539" s="232"/>
      <c r="R539" s="232"/>
      <c r="S539" s="232"/>
      <c r="T539" s="232"/>
    </row>
    <row r="540" spans="1:20">
      <c r="A540" s="174">
        <v>320</v>
      </c>
      <c r="B540" s="326">
        <v>200</v>
      </c>
      <c r="C540" s="326">
        <v>100</v>
      </c>
      <c r="D540" s="326">
        <v>700</v>
      </c>
      <c r="E540" s="326">
        <v>0</v>
      </c>
      <c r="F540" s="326">
        <v>0</v>
      </c>
      <c r="G540" s="347" t="s">
        <v>2841</v>
      </c>
      <c r="H540" s="330" t="s">
        <v>1135</v>
      </c>
      <c r="I540" s="326"/>
      <c r="J540" s="326"/>
      <c r="K540" s="334">
        <f t="shared" si="8"/>
        <v>3750807.95</v>
      </c>
      <c r="L540" s="334">
        <v>3750807.95</v>
      </c>
      <c r="M540" s="334"/>
      <c r="N540" s="334">
        <v>3571856.69</v>
      </c>
      <c r="O540" s="232"/>
      <c r="P540" s="232"/>
      <c r="Q540" s="232"/>
      <c r="R540" s="232"/>
      <c r="S540" s="232"/>
      <c r="T540" s="232"/>
    </row>
    <row r="541" spans="1:20" ht="25.5">
      <c r="A541" s="174">
        <v>320</v>
      </c>
      <c r="B541" s="326">
        <v>200</v>
      </c>
      <c r="C541" s="326">
        <v>101</v>
      </c>
      <c r="D541" s="326">
        <v>0</v>
      </c>
      <c r="E541" s="326">
        <v>0</v>
      </c>
      <c r="F541" s="326">
        <v>0</v>
      </c>
      <c r="G541" s="331" t="s">
        <v>3465</v>
      </c>
      <c r="H541" s="331" t="s">
        <v>3466</v>
      </c>
      <c r="I541" s="326" t="s">
        <v>1142</v>
      </c>
      <c r="J541" s="325"/>
      <c r="K541" s="335"/>
      <c r="L541" s="335">
        <v>0</v>
      </c>
      <c r="M541" s="335"/>
      <c r="N541" s="335">
        <v>0</v>
      </c>
      <c r="O541" s="232"/>
      <c r="P541" s="232"/>
      <c r="Q541" s="232"/>
      <c r="R541" s="232"/>
      <c r="S541" s="232"/>
      <c r="T541" s="232"/>
    </row>
    <row r="542" spans="1:20">
      <c r="A542" s="174">
        <v>320</v>
      </c>
      <c r="B542" s="326">
        <v>200</v>
      </c>
      <c r="C542" s="326">
        <v>101</v>
      </c>
      <c r="D542" s="326">
        <v>100</v>
      </c>
      <c r="E542" s="326">
        <v>0</v>
      </c>
      <c r="F542" s="326">
        <v>0</v>
      </c>
      <c r="G542" s="347" t="s">
        <v>3467</v>
      </c>
      <c r="H542" s="330" t="s">
        <v>1107</v>
      </c>
      <c r="I542" s="326"/>
      <c r="J542" s="325"/>
      <c r="K542" s="334">
        <f t="shared" si="8"/>
        <v>258558.62</v>
      </c>
      <c r="L542" s="336">
        <v>258558.62</v>
      </c>
      <c r="M542" s="336"/>
      <c r="N542" s="336">
        <v>0</v>
      </c>
      <c r="O542" s="232"/>
      <c r="P542" s="232"/>
      <c r="Q542" s="232"/>
      <c r="R542" s="232"/>
      <c r="S542" s="232"/>
      <c r="T542" s="232"/>
    </row>
    <row r="543" spans="1:20">
      <c r="A543" s="174">
        <v>320</v>
      </c>
      <c r="B543" s="326">
        <v>200</v>
      </c>
      <c r="C543" s="326">
        <v>101</v>
      </c>
      <c r="D543" s="326">
        <v>200</v>
      </c>
      <c r="E543" s="326">
        <v>0</v>
      </c>
      <c r="F543" s="326">
        <v>0</v>
      </c>
      <c r="G543" s="347" t="s">
        <v>3468</v>
      </c>
      <c r="H543" s="330" t="s">
        <v>1143</v>
      </c>
      <c r="I543" s="326"/>
      <c r="J543" s="325"/>
      <c r="K543" s="334">
        <f t="shared" si="8"/>
        <v>0</v>
      </c>
      <c r="L543" s="336">
        <v>0</v>
      </c>
      <c r="M543" s="336"/>
      <c r="N543" s="336">
        <v>0</v>
      </c>
      <c r="O543" s="232"/>
      <c r="P543" s="232"/>
      <c r="Q543" s="232"/>
      <c r="R543" s="232"/>
      <c r="S543" s="232"/>
      <c r="T543" s="232"/>
    </row>
    <row r="544" spans="1:20">
      <c r="A544" s="174">
        <v>320</v>
      </c>
      <c r="B544" s="326">
        <v>200</v>
      </c>
      <c r="C544" s="326">
        <v>101</v>
      </c>
      <c r="D544" s="326">
        <v>300</v>
      </c>
      <c r="E544" s="326">
        <v>0</v>
      </c>
      <c r="F544" s="326">
        <v>0</v>
      </c>
      <c r="G544" s="347" t="s">
        <v>3469</v>
      </c>
      <c r="H544" s="330" t="s">
        <v>1144</v>
      </c>
      <c r="I544" s="326"/>
      <c r="J544" s="325"/>
      <c r="K544" s="334">
        <f t="shared" si="8"/>
        <v>0</v>
      </c>
      <c r="L544" s="336">
        <v>0</v>
      </c>
      <c r="M544" s="336"/>
      <c r="N544" s="336">
        <v>0</v>
      </c>
      <c r="O544" s="232"/>
      <c r="P544" s="232"/>
      <c r="Q544" s="232"/>
      <c r="R544" s="232"/>
      <c r="S544" s="232"/>
      <c r="T544" s="232"/>
    </row>
    <row r="545" spans="1:20">
      <c r="A545" s="174">
        <v>320</v>
      </c>
      <c r="B545" s="326">
        <v>200</v>
      </c>
      <c r="C545" s="326">
        <v>101</v>
      </c>
      <c r="D545" s="326">
        <v>301</v>
      </c>
      <c r="E545" s="326">
        <v>0</v>
      </c>
      <c r="F545" s="326">
        <v>0</v>
      </c>
      <c r="G545" s="347" t="s">
        <v>3470</v>
      </c>
      <c r="H545" s="330" t="s">
        <v>2275</v>
      </c>
      <c r="I545" s="326"/>
      <c r="J545" s="325"/>
      <c r="K545" s="334">
        <f t="shared" si="8"/>
        <v>79016.81</v>
      </c>
      <c r="L545" s="336">
        <v>79016.81</v>
      </c>
      <c r="M545" s="336"/>
      <c r="N545" s="336">
        <v>0</v>
      </c>
      <c r="O545" s="232"/>
      <c r="P545" s="232"/>
      <c r="Q545" s="232"/>
      <c r="R545" s="232"/>
      <c r="S545" s="232"/>
      <c r="T545" s="232"/>
    </row>
    <row r="546" spans="1:20">
      <c r="A546" s="174">
        <v>320</v>
      </c>
      <c r="B546" s="326">
        <v>200</v>
      </c>
      <c r="C546" s="326">
        <v>101</v>
      </c>
      <c r="D546" s="326">
        <v>302</v>
      </c>
      <c r="E546" s="326">
        <v>0</v>
      </c>
      <c r="F546" s="326">
        <v>0</v>
      </c>
      <c r="G546" s="347" t="s">
        <v>3471</v>
      </c>
      <c r="H546" s="330" t="s">
        <v>2277</v>
      </c>
      <c r="I546" s="326"/>
      <c r="J546" s="325"/>
      <c r="K546" s="334">
        <f t="shared" si="8"/>
        <v>0</v>
      </c>
      <c r="L546" s="336">
        <v>0</v>
      </c>
      <c r="M546" s="336"/>
      <c r="N546" s="336">
        <v>0</v>
      </c>
      <c r="O546" s="232"/>
      <c r="P546" s="232"/>
      <c r="Q546" s="232"/>
      <c r="R546" s="232"/>
      <c r="S546" s="232"/>
      <c r="T546" s="232"/>
    </row>
    <row r="547" spans="1:20">
      <c r="A547" s="174">
        <v>320</v>
      </c>
      <c r="B547" s="326">
        <v>200</v>
      </c>
      <c r="C547" s="326">
        <v>101</v>
      </c>
      <c r="D547" s="326">
        <v>400</v>
      </c>
      <c r="E547" s="326">
        <v>0</v>
      </c>
      <c r="F547" s="326">
        <v>0</v>
      </c>
      <c r="G547" s="347" t="s">
        <v>3472</v>
      </c>
      <c r="H547" s="330" t="s">
        <v>1145</v>
      </c>
      <c r="I547" s="326"/>
      <c r="J547" s="325"/>
      <c r="K547" s="334">
        <f t="shared" si="8"/>
        <v>27988.57</v>
      </c>
      <c r="L547" s="336">
        <v>27988.57</v>
      </c>
      <c r="M547" s="336"/>
      <c r="N547" s="336">
        <v>0</v>
      </c>
      <c r="O547" s="232"/>
      <c r="P547" s="232"/>
      <c r="Q547" s="232"/>
      <c r="R547" s="232"/>
      <c r="S547" s="232"/>
      <c r="T547" s="232"/>
    </row>
    <row r="548" spans="1:20">
      <c r="A548" s="174">
        <v>320</v>
      </c>
      <c r="B548" s="326">
        <v>200</v>
      </c>
      <c r="C548" s="326">
        <v>101</v>
      </c>
      <c r="D548" s="326">
        <v>500</v>
      </c>
      <c r="E548" s="326">
        <v>0</v>
      </c>
      <c r="F548" s="326">
        <v>0</v>
      </c>
      <c r="G548" s="347" t="s">
        <v>3473</v>
      </c>
      <c r="H548" s="330" t="s">
        <v>1132</v>
      </c>
      <c r="I548" s="326"/>
      <c r="J548" s="325"/>
      <c r="K548" s="334">
        <f t="shared" si="8"/>
        <v>0</v>
      </c>
      <c r="L548" s="336">
        <v>0</v>
      </c>
      <c r="M548" s="336"/>
      <c r="N548" s="336">
        <v>0</v>
      </c>
      <c r="O548" s="232"/>
      <c r="P548" s="232"/>
      <c r="Q548" s="232"/>
      <c r="R548" s="232"/>
      <c r="S548" s="232"/>
      <c r="T548" s="232"/>
    </row>
    <row r="549" spans="1:20">
      <c r="A549" s="174">
        <v>320</v>
      </c>
      <c r="B549" s="326">
        <v>200</v>
      </c>
      <c r="C549" s="326">
        <v>101</v>
      </c>
      <c r="D549" s="326">
        <v>600</v>
      </c>
      <c r="E549" s="326">
        <v>0</v>
      </c>
      <c r="F549" s="326">
        <v>0</v>
      </c>
      <c r="G549" s="347" t="s">
        <v>3474</v>
      </c>
      <c r="H549" s="330" t="s">
        <v>1115</v>
      </c>
      <c r="I549" s="326"/>
      <c r="J549" s="325"/>
      <c r="K549" s="334">
        <f t="shared" si="8"/>
        <v>0</v>
      </c>
      <c r="L549" s="336">
        <v>0</v>
      </c>
      <c r="M549" s="336"/>
      <c r="N549" s="336">
        <v>0</v>
      </c>
      <c r="O549" s="232"/>
      <c r="P549" s="232"/>
      <c r="Q549" s="232"/>
      <c r="R549" s="232"/>
      <c r="S549" s="232"/>
      <c r="T549" s="232"/>
    </row>
    <row r="550" spans="1:20">
      <c r="A550" s="174">
        <v>320</v>
      </c>
      <c r="B550" s="326">
        <v>200</v>
      </c>
      <c r="C550" s="326">
        <v>101</v>
      </c>
      <c r="D550" s="326">
        <v>600</v>
      </c>
      <c r="E550" s="326">
        <v>5</v>
      </c>
      <c r="F550" s="326">
        <v>0</v>
      </c>
      <c r="G550" s="347" t="s">
        <v>3475</v>
      </c>
      <c r="H550" s="330" t="s">
        <v>1116</v>
      </c>
      <c r="I550" s="326"/>
      <c r="J550" s="325"/>
      <c r="K550" s="334">
        <f t="shared" si="8"/>
        <v>0</v>
      </c>
      <c r="L550" s="336">
        <v>0</v>
      </c>
      <c r="M550" s="336"/>
      <c r="N550" s="336">
        <v>0</v>
      </c>
      <c r="O550" s="232"/>
      <c r="P550" s="232"/>
      <c r="Q550" s="232"/>
      <c r="R550" s="232"/>
      <c r="S550" s="232"/>
      <c r="T550" s="232"/>
    </row>
    <row r="551" spans="1:20">
      <c r="A551" s="174">
        <v>320</v>
      </c>
      <c r="B551" s="326">
        <v>200</v>
      </c>
      <c r="C551" s="326">
        <v>101</v>
      </c>
      <c r="D551" s="326">
        <v>600</v>
      </c>
      <c r="E551" s="326">
        <v>10</v>
      </c>
      <c r="F551" s="326">
        <v>0</v>
      </c>
      <c r="G551" s="347" t="s">
        <v>3476</v>
      </c>
      <c r="H551" s="330" t="s">
        <v>1117</v>
      </c>
      <c r="I551" s="326"/>
      <c r="J551" s="325"/>
      <c r="K551" s="334">
        <f t="shared" si="8"/>
        <v>0</v>
      </c>
      <c r="L551" s="336">
        <v>0</v>
      </c>
      <c r="M551" s="336"/>
      <c r="N551" s="336">
        <v>0</v>
      </c>
      <c r="O551" s="232"/>
      <c r="P551" s="232"/>
      <c r="Q551" s="232"/>
      <c r="R551" s="232"/>
      <c r="S551" s="232"/>
      <c r="T551" s="232"/>
    </row>
    <row r="552" spans="1:20">
      <c r="A552" s="174">
        <v>320</v>
      </c>
      <c r="B552" s="326">
        <v>200</v>
      </c>
      <c r="C552" s="326">
        <v>101</v>
      </c>
      <c r="D552" s="326">
        <v>600</v>
      </c>
      <c r="E552" s="326">
        <v>15</v>
      </c>
      <c r="F552" s="326">
        <v>0</v>
      </c>
      <c r="G552" s="347" t="s">
        <v>3477</v>
      </c>
      <c r="H552" s="330" t="s">
        <v>1146</v>
      </c>
      <c r="I552" s="326"/>
      <c r="J552" s="325"/>
      <c r="K552" s="334">
        <f t="shared" si="8"/>
        <v>0</v>
      </c>
      <c r="L552" s="336">
        <v>0</v>
      </c>
      <c r="M552" s="336"/>
      <c r="N552" s="336">
        <v>0</v>
      </c>
      <c r="O552" s="232"/>
      <c r="P552" s="232"/>
      <c r="Q552" s="232"/>
      <c r="R552" s="232"/>
      <c r="S552" s="232"/>
      <c r="T552" s="232"/>
    </row>
    <row r="553" spans="1:20">
      <c r="A553" s="174">
        <v>320</v>
      </c>
      <c r="B553" s="326">
        <v>200</v>
      </c>
      <c r="C553" s="326">
        <v>101</v>
      </c>
      <c r="D553" s="326">
        <v>700</v>
      </c>
      <c r="E553" s="326">
        <v>0</v>
      </c>
      <c r="F553" s="326">
        <v>0</v>
      </c>
      <c r="G553" s="347" t="s">
        <v>3478</v>
      </c>
      <c r="H553" s="330" t="s">
        <v>1135</v>
      </c>
      <c r="I553" s="326"/>
      <c r="J553" s="325"/>
      <c r="K553" s="334">
        <f t="shared" si="8"/>
        <v>112429.75</v>
      </c>
      <c r="L553" s="336">
        <v>112429.75</v>
      </c>
      <c r="M553" s="336"/>
      <c r="N553" s="336">
        <v>0</v>
      </c>
      <c r="O553" s="232"/>
      <c r="P553" s="232"/>
      <c r="Q553" s="232"/>
      <c r="R553" s="232"/>
      <c r="S553" s="232"/>
      <c r="T553" s="232"/>
    </row>
    <row r="554" spans="1:20" ht="25.5">
      <c r="A554" s="174">
        <v>320</v>
      </c>
      <c r="B554" s="326">
        <v>200</v>
      </c>
      <c r="C554" s="326">
        <v>102</v>
      </c>
      <c r="D554" s="326">
        <v>0</v>
      </c>
      <c r="E554" s="326">
        <v>0</v>
      </c>
      <c r="F554" s="326">
        <v>0</v>
      </c>
      <c r="G554" s="331" t="s">
        <v>3479</v>
      </c>
      <c r="H554" s="331" t="s">
        <v>3480</v>
      </c>
      <c r="I554" s="326" t="s">
        <v>1142</v>
      </c>
      <c r="J554" s="325"/>
      <c r="K554" s="335"/>
      <c r="L554" s="335">
        <v>0</v>
      </c>
      <c r="M554" s="335"/>
      <c r="N554" s="335">
        <v>0</v>
      </c>
      <c r="O554" s="232"/>
      <c r="P554" s="232"/>
      <c r="Q554" s="232"/>
      <c r="R554" s="232"/>
      <c r="S554" s="232"/>
      <c r="T554" s="232"/>
    </row>
    <row r="555" spans="1:20">
      <c r="A555" s="174">
        <v>320</v>
      </c>
      <c r="B555" s="326">
        <v>200</v>
      </c>
      <c r="C555" s="326">
        <v>102</v>
      </c>
      <c r="D555" s="326">
        <v>100</v>
      </c>
      <c r="E555" s="326">
        <v>0</v>
      </c>
      <c r="F555" s="326">
        <v>0</v>
      </c>
      <c r="G555" s="347" t="s">
        <v>3481</v>
      </c>
      <c r="H555" s="330" t="s">
        <v>1107</v>
      </c>
      <c r="I555" s="326"/>
      <c r="J555" s="325"/>
      <c r="K555" s="334">
        <f t="shared" si="8"/>
        <v>195214.87</v>
      </c>
      <c r="L555" s="336">
        <v>195214.87</v>
      </c>
      <c r="M555" s="336"/>
      <c r="N555" s="336">
        <v>0</v>
      </c>
      <c r="O555" s="232"/>
      <c r="P555" s="232"/>
      <c r="Q555" s="232"/>
      <c r="R555" s="232"/>
      <c r="S555" s="232"/>
      <c r="T555" s="232"/>
    </row>
    <row r="556" spans="1:20">
      <c r="A556" s="174">
        <v>320</v>
      </c>
      <c r="B556" s="326">
        <v>200</v>
      </c>
      <c r="C556" s="326">
        <v>102</v>
      </c>
      <c r="D556" s="326">
        <v>200</v>
      </c>
      <c r="E556" s="326">
        <v>0</v>
      </c>
      <c r="F556" s="326">
        <v>0</v>
      </c>
      <c r="G556" s="347" t="s">
        <v>3482</v>
      </c>
      <c r="H556" s="330" t="s">
        <v>1143</v>
      </c>
      <c r="I556" s="326"/>
      <c r="J556" s="325"/>
      <c r="K556" s="334">
        <f t="shared" si="8"/>
        <v>0</v>
      </c>
      <c r="L556" s="336">
        <v>0</v>
      </c>
      <c r="M556" s="336"/>
      <c r="N556" s="336">
        <v>0</v>
      </c>
      <c r="O556" s="232"/>
      <c r="P556" s="232"/>
      <c r="Q556" s="232"/>
      <c r="R556" s="232"/>
      <c r="S556" s="232"/>
      <c r="T556" s="232"/>
    </row>
    <row r="557" spans="1:20">
      <c r="A557" s="174">
        <v>320</v>
      </c>
      <c r="B557" s="326">
        <v>200</v>
      </c>
      <c r="C557" s="326">
        <v>102</v>
      </c>
      <c r="D557" s="326">
        <v>300</v>
      </c>
      <c r="E557" s="326">
        <v>0</v>
      </c>
      <c r="F557" s="326">
        <v>0</v>
      </c>
      <c r="G557" s="347" t="s">
        <v>3483</v>
      </c>
      <c r="H557" s="330" t="s">
        <v>1144</v>
      </c>
      <c r="I557" s="326"/>
      <c r="J557" s="325"/>
      <c r="K557" s="334">
        <f t="shared" si="8"/>
        <v>0</v>
      </c>
      <c r="L557" s="336">
        <v>0</v>
      </c>
      <c r="M557" s="336"/>
      <c r="N557" s="336">
        <v>0</v>
      </c>
      <c r="O557" s="232"/>
      <c r="P557" s="232"/>
      <c r="Q557" s="232"/>
      <c r="R557" s="232"/>
      <c r="S557" s="232"/>
      <c r="T557" s="232"/>
    </row>
    <row r="558" spans="1:20">
      <c r="A558" s="174">
        <v>320</v>
      </c>
      <c r="B558" s="326">
        <v>200</v>
      </c>
      <c r="C558" s="326">
        <v>102</v>
      </c>
      <c r="D558" s="326">
        <v>301</v>
      </c>
      <c r="E558" s="326">
        <v>0</v>
      </c>
      <c r="F558" s="326">
        <v>0</v>
      </c>
      <c r="G558" s="347" t="s">
        <v>3484</v>
      </c>
      <c r="H558" s="330" t="s">
        <v>2275</v>
      </c>
      <c r="I558" s="326"/>
      <c r="J558" s="325"/>
      <c r="K558" s="334">
        <f t="shared" si="8"/>
        <v>7580.11</v>
      </c>
      <c r="L558" s="336">
        <v>7580.11</v>
      </c>
      <c r="M558" s="336"/>
      <c r="N558" s="336">
        <v>0</v>
      </c>
      <c r="O558" s="232"/>
      <c r="P558" s="232"/>
      <c r="Q558" s="232"/>
      <c r="R558" s="232"/>
      <c r="S558" s="232"/>
      <c r="T558" s="232"/>
    </row>
    <row r="559" spans="1:20">
      <c r="A559" s="174">
        <v>320</v>
      </c>
      <c r="B559" s="326">
        <v>200</v>
      </c>
      <c r="C559" s="326">
        <v>102</v>
      </c>
      <c r="D559" s="326">
        <v>302</v>
      </c>
      <c r="E559" s="326">
        <v>0</v>
      </c>
      <c r="F559" s="326">
        <v>0</v>
      </c>
      <c r="G559" s="347" t="s">
        <v>3485</v>
      </c>
      <c r="H559" s="330" t="s">
        <v>2277</v>
      </c>
      <c r="I559" s="326"/>
      <c r="J559" s="325"/>
      <c r="K559" s="334">
        <f t="shared" si="8"/>
        <v>43553.98</v>
      </c>
      <c r="L559" s="336">
        <v>43553.98</v>
      </c>
      <c r="M559" s="336"/>
      <c r="N559" s="336">
        <v>0</v>
      </c>
      <c r="O559" s="232"/>
      <c r="P559" s="232"/>
      <c r="Q559" s="232"/>
      <c r="R559" s="232"/>
      <c r="S559" s="232"/>
      <c r="T559" s="232"/>
    </row>
    <row r="560" spans="1:20">
      <c r="A560" s="174">
        <v>320</v>
      </c>
      <c r="B560" s="326">
        <v>200</v>
      </c>
      <c r="C560" s="326">
        <v>102</v>
      </c>
      <c r="D560" s="326">
        <v>400</v>
      </c>
      <c r="E560" s="326">
        <v>0</v>
      </c>
      <c r="F560" s="326">
        <v>0</v>
      </c>
      <c r="G560" s="347" t="s">
        <v>3486</v>
      </c>
      <c r="H560" s="330" t="s">
        <v>1145</v>
      </c>
      <c r="I560" s="326"/>
      <c r="J560" s="325"/>
      <c r="K560" s="334">
        <f t="shared" si="8"/>
        <v>22877.93181818182</v>
      </c>
      <c r="L560" s="336">
        <v>22877.93181818182</v>
      </c>
      <c r="M560" s="336"/>
      <c r="N560" s="336">
        <v>0</v>
      </c>
      <c r="O560" s="232"/>
      <c r="P560" s="232"/>
      <c r="Q560" s="232"/>
      <c r="R560" s="232"/>
      <c r="S560" s="232"/>
      <c r="T560" s="232"/>
    </row>
    <row r="561" spans="1:20">
      <c r="A561" s="174">
        <v>320</v>
      </c>
      <c r="B561" s="326">
        <v>200</v>
      </c>
      <c r="C561" s="326">
        <v>102</v>
      </c>
      <c r="D561" s="326">
        <v>500</v>
      </c>
      <c r="E561" s="326">
        <v>0</v>
      </c>
      <c r="F561" s="326">
        <v>0</v>
      </c>
      <c r="G561" s="347" t="s">
        <v>3487</v>
      </c>
      <c r="H561" s="330" t="s">
        <v>1132</v>
      </c>
      <c r="I561" s="326"/>
      <c r="J561" s="325"/>
      <c r="K561" s="334">
        <f t="shared" si="8"/>
        <v>0</v>
      </c>
      <c r="L561" s="336">
        <v>0</v>
      </c>
      <c r="M561" s="336"/>
      <c r="N561" s="336">
        <v>0</v>
      </c>
      <c r="O561" s="232"/>
      <c r="P561" s="232"/>
      <c r="Q561" s="232"/>
      <c r="R561" s="232"/>
      <c r="S561" s="232"/>
      <c r="T561" s="232"/>
    </row>
    <row r="562" spans="1:20">
      <c r="A562" s="174">
        <v>320</v>
      </c>
      <c r="B562" s="326">
        <v>200</v>
      </c>
      <c r="C562" s="326">
        <v>102</v>
      </c>
      <c r="D562" s="326">
        <v>600</v>
      </c>
      <c r="E562" s="326">
        <v>0</v>
      </c>
      <c r="F562" s="326">
        <v>0</v>
      </c>
      <c r="G562" s="347" t="s">
        <v>3488</v>
      </c>
      <c r="H562" s="330" t="s">
        <v>1115</v>
      </c>
      <c r="I562" s="326"/>
      <c r="J562" s="325"/>
      <c r="K562" s="334">
        <f t="shared" si="8"/>
        <v>0</v>
      </c>
      <c r="L562" s="336">
        <v>0</v>
      </c>
      <c r="M562" s="336"/>
      <c r="N562" s="336">
        <v>0</v>
      </c>
      <c r="O562" s="232"/>
      <c r="P562" s="232"/>
      <c r="Q562" s="232"/>
      <c r="R562" s="232"/>
      <c r="S562" s="232"/>
      <c r="T562" s="232"/>
    </row>
    <row r="563" spans="1:20">
      <c r="A563" s="174">
        <v>320</v>
      </c>
      <c r="B563" s="326">
        <v>200</v>
      </c>
      <c r="C563" s="326">
        <v>102</v>
      </c>
      <c r="D563" s="326">
        <v>600</v>
      </c>
      <c r="E563" s="326">
        <v>5</v>
      </c>
      <c r="F563" s="326">
        <v>0</v>
      </c>
      <c r="G563" s="347" t="s">
        <v>3489</v>
      </c>
      <c r="H563" s="330" t="s">
        <v>1116</v>
      </c>
      <c r="I563" s="326"/>
      <c r="J563" s="325"/>
      <c r="K563" s="334">
        <f t="shared" si="8"/>
        <v>0</v>
      </c>
      <c r="L563" s="336">
        <v>0</v>
      </c>
      <c r="M563" s="336"/>
      <c r="N563" s="336">
        <v>0</v>
      </c>
      <c r="O563" s="232"/>
      <c r="P563" s="232"/>
      <c r="Q563" s="232"/>
      <c r="R563" s="232"/>
      <c r="S563" s="232"/>
      <c r="T563" s="232"/>
    </row>
    <row r="564" spans="1:20">
      <c r="A564" s="174">
        <v>320</v>
      </c>
      <c r="B564" s="326">
        <v>200</v>
      </c>
      <c r="C564" s="326">
        <v>102</v>
      </c>
      <c r="D564" s="326">
        <v>600</v>
      </c>
      <c r="E564" s="326">
        <v>10</v>
      </c>
      <c r="F564" s="326">
        <v>0</v>
      </c>
      <c r="G564" s="347" t="s">
        <v>3490</v>
      </c>
      <c r="H564" s="330" t="s">
        <v>1117</v>
      </c>
      <c r="I564" s="326"/>
      <c r="J564" s="325"/>
      <c r="K564" s="334">
        <f t="shared" si="8"/>
        <v>0</v>
      </c>
      <c r="L564" s="336">
        <v>0</v>
      </c>
      <c r="M564" s="336"/>
      <c r="N564" s="336">
        <v>0</v>
      </c>
      <c r="O564" s="232"/>
      <c r="P564" s="232"/>
      <c r="Q564" s="232"/>
      <c r="R564" s="232"/>
      <c r="S564" s="232"/>
      <c r="T564" s="232"/>
    </row>
    <row r="565" spans="1:20">
      <c r="A565" s="174">
        <v>320</v>
      </c>
      <c r="B565" s="326">
        <v>200</v>
      </c>
      <c r="C565" s="326">
        <v>102</v>
      </c>
      <c r="D565" s="326">
        <v>600</v>
      </c>
      <c r="E565" s="326">
        <v>15</v>
      </c>
      <c r="F565" s="326">
        <v>0</v>
      </c>
      <c r="G565" s="347" t="s">
        <v>3491</v>
      </c>
      <c r="H565" s="330" t="s">
        <v>1146</v>
      </c>
      <c r="I565" s="326"/>
      <c r="J565" s="325"/>
      <c r="K565" s="334">
        <f t="shared" si="8"/>
        <v>0</v>
      </c>
      <c r="L565" s="336">
        <v>0</v>
      </c>
      <c r="M565" s="336"/>
      <c r="N565" s="336">
        <v>0</v>
      </c>
      <c r="O565" s="232"/>
      <c r="P565" s="232"/>
      <c r="Q565" s="232"/>
      <c r="R565" s="232"/>
      <c r="S565" s="232"/>
      <c r="T565" s="232"/>
    </row>
    <row r="566" spans="1:20">
      <c r="A566" s="174">
        <v>320</v>
      </c>
      <c r="B566" s="326">
        <v>200</v>
      </c>
      <c r="C566" s="326">
        <v>102</v>
      </c>
      <c r="D566" s="326">
        <v>700</v>
      </c>
      <c r="E566" s="326">
        <v>0</v>
      </c>
      <c r="F566" s="326">
        <v>0</v>
      </c>
      <c r="G566" s="347" t="s">
        <v>3492</v>
      </c>
      <c r="H566" s="330" t="s">
        <v>1135</v>
      </c>
      <c r="I566" s="326"/>
      <c r="J566" s="325"/>
      <c r="K566" s="334">
        <f t="shared" si="8"/>
        <v>82670.143636363631</v>
      </c>
      <c r="L566" s="336">
        <v>82670.143636363631</v>
      </c>
      <c r="M566" s="336"/>
      <c r="N566" s="336">
        <v>0</v>
      </c>
      <c r="O566" s="232"/>
      <c r="P566" s="232"/>
      <c r="Q566" s="232"/>
      <c r="R566" s="232"/>
      <c r="S566" s="232"/>
      <c r="T566" s="232"/>
    </row>
    <row r="567" spans="1:20" ht="25.5">
      <c r="A567" s="174">
        <v>320</v>
      </c>
      <c r="B567" s="326">
        <v>200</v>
      </c>
      <c r="C567" s="326">
        <v>200</v>
      </c>
      <c r="D567" s="326">
        <v>0</v>
      </c>
      <c r="E567" s="326">
        <v>0</v>
      </c>
      <c r="F567" s="326">
        <v>0</v>
      </c>
      <c r="G567" s="331" t="s">
        <v>2842</v>
      </c>
      <c r="H567" s="331" t="s">
        <v>1147</v>
      </c>
      <c r="I567" s="326" t="s">
        <v>1148</v>
      </c>
      <c r="J567" s="325"/>
      <c r="K567" s="335">
        <f t="shared" si="8"/>
        <v>0</v>
      </c>
      <c r="L567" s="335">
        <v>0</v>
      </c>
      <c r="M567" s="335"/>
      <c r="N567" s="335">
        <v>0</v>
      </c>
      <c r="O567" s="232"/>
      <c r="P567" s="232"/>
      <c r="Q567" s="232"/>
      <c r="R567" s="232"/>
      <c r="S567" s="232"/>
      <c r="T567" s="232"/>
    </row>
    <row r="568" spans="1:20">
      <c r="A568" s="174">
        <v>320</v>
      </c>
      <c r="B568" s="326">
        <v>200</v>
      </c>
      <c r="C568" s="326">
        <v>200</v>
      </c>
      <c r="D568" s="326">
        <v>100</v>
      </c>
      <c r="E568" s="326">
        <v>0</v>
      </c>
      <c r="F568" s="326">
        <v>0</v>
      </c>
      <c r="G568" s="347" t="s">
        <v>2843</v>
      </c>
      <c r="H568" s="330" t="s">
        <v>1107</v>
      </c>
      <c r="I568" s="326"/>
      <c r="J568" s="326"/>
      <c r="K568" s="334">
        <f t="shared" si="8"/>
        <v>294726.87</v>
      </c>
      <c r="L568" s="334">
        <v>294726.87</v>
      </c>
      <c r="M568" s="334"/>
      <c r="N568" s="334">
        <v>337611.36</v>
      </c>
      <c r="O568" s="232"/>
      <c r="P568" s="232"/>
      <c r="Q568" s="232"/>
      <c r="R568" s="232"/>
      <c r="S568" s="232"/>
      <c r="T568" s="232"/>
    </row>
    <row r="569" spans="1:20">
      <c r="A569" s="174">
        <v>320</v>
      </c>
      <c r="B569" s="326">
        <v>200</v>
      </c>
      <c r="C569" s="326">
        <v>200</v>
      </c>
      <c r="D569" s="326">
        <v>200</v>
      </c>
      <c r="E569" s="326">
        <v>0</v>
      </c>
      <c r="F569" s="326">
        <v>0</v>
      </c>
      <c r="G569" s="347" t="s">
        <v>2844</v>
      </c>
      <c r="H569" s="330" t="s">
        <v>1143</v>
      </c>
      <c r="I569" s="326"/>
      <c r="J569" s="326"/>
      <c r="K569" s="334">
        <f t="shared" si="8"/>
        <v>4968.41</v>
      </c>
      <c r="L569" s="334">
        <v>4968.41</v>
      </c>
      <c r="M569" s="334"/>
      <c r="N569" s="334">
        <v>8706.16</v>
      </c>
      <c r="O569" s="232"/>
      <c r="P569" s="232"/>
      <c r="Q569" s="232"/>
      <c r="R569" s="232"/>
      <c r="S569" s="232"/>
      <c r="T569" s="232"/>
    </row>
    <row r="570" spans="1:20">
      <c r="A570" s="174">
        <v>320</v>
      </c>
      <c r="B570" s="326">
        <v>200</v>
      </c>
      <c r="C570" s="326">
        <v>200</v>
      </c>
      <c r="D570" s="326">
        <v>300</v>
      </c>
      <c r="E570" s="326">
        <v>0</v>
      </c>
      <c r="F570" s="326">
        <v>0</v>
      </c>
      <c r="G570" s="347" t="s">
        <v>2845</v>
      </c>
      <c r="H570" s="330" t="s">
        <v>1144</v>
      </c>
      <c r="I570" s="326"/>
      <c r="J570" s="326"/>
      <c r="K570" s="334">
        <f t="shared" si="8"/>
        <v>4268.8900000000003</v>
      </c>
      <c r="L570" s="334">
        <v>4268.8900000000003</v>
      </c>
      <c r="M570" s="334"/>
      <c r="N570" s="334">
        <v>4959.49</v>
      </c>
      <c r="O570" s="232"/>
      <c r="P570" s="232"/>
      <c r="Q570" s="232"/>
      <c r="R570" s="232"/>
      <c r="S570" s="232"/>
      <c r="T570" s="232"/>
    </row>
    <row r="571" spans="1:20">
      <c r="A571" s="174">
        <v>320</v>
      </c>
      <c r="B571" s="326">
        <v>200</v>
      </c>
      <c r="C571" s="326">
        <v>200</v>
      </c>
      <c r="D571" s="326">
        <v>301</v>
      </c>
      <c r="E571" s="326">
        <v>0</v>
      </c>
      <c r="F571" s="326">
        <v>0</v>
      </c>
      <c r="G571" s="347" t="s">
        <v>2267</v>
      </c>
      <c r="H571" s="330" t="s">
        <v>2264</v>
      </c>
      <c r="I571" s="326"/>
      <c r="J571" s="326"/>
      <c r="K571" s="334">
        <f t="shared" si="8"/>
        <v>14981.41</v>
      </c>
      <c r="L571" s="334">
        <v>14981.41</v>
      </c>
      <c r="M571" s="334"/>
      <c r="N571" s="334">
        <v>16545.93</v>
      </c>
      <c r="O571" s="232"/>
      <c r="P571" s="232"/>
      <c r="Q571" s="232"/>
      <c r="R571" s="232"/>
      <c r="S571" s="232"/>
      <c r="T571" s="232"/>
    </row>
    <row r="572" spans="1:20">
      <c r="A572" s="174">
        <v>320</v>
      </c>
      <c r="B572" s="326">
        <v>200</v>
      </c>
      <c r="C572" s="326">
        <v>200</v>
      </c>
      <c r="D572" s="326">
        <v>302</v>
      </c>
      <c r="E572" s="326">
        <v>0</v>
      </c>
      <c r="F572" s="326">
        <v>0</v>
      </c>
      <c r="G572" s="347" t="s">
        <v>2268</v>
      </c>
      <c r="H572" s="330" t="s">
        <v>2266</v>
      </c>
      <c r="I572" s="326"/>
      <c r="J572" s="326"/>
      <c r="K572" s="334">
        <f t="shared" si="8"/>
        <v>4014.22</v>
      </c>
      <c r="L572" s="334">
        <v>4014.22</v>
      </c>
      <c r="M572" s="334"/>
      <c r="N572" s="334">
        <v>6141.59</v>
      </c>
      <c r="O572" s="232"/>
      <c r="P572" s="232"/>
      <c r="Q572" s="232"/>
      <c r="R572" s="232"/>
      <c r="S572" s="232"/>
      <c r="T572" s="232"/>
    </row>
    <row r="573" spans="1:20">
      <c r="A573" s="174">
        <v>320</v>
      </c>
      <c r="B573" s="326">
        <v>200</v>
      </c>
      <c r="C573" s="326">
        <v>200</v>
      </c>
      <c r="D573" s="326">
        <v>400</v>
      </c>
      <c r="E573" s="326">
        <v>0</v>
      </c>
      <c r="F573" s="326">
        <v>0</v>
      </c>
      <c r="G573" s="347" t="s">
        <v>2846</v>
      </c>
      <c r="H573" s="330" t="s">
        <v>1145</v>
      </c>
      <c r="I573" s="326"/>
      <c r="J573" s="326"/>
      <c r="K573" s="334">
        <f t="shared" si="8"/>
        <v>29499.18</v>
      </c>
      <c r="L573" s="334">
        <v>29499.18</v>
      </c>
      <c r="M573" s="334"/>
      <c r="N573" s="334">
        <v>27583.8</v>
      </c>
      <c r="O573" s="232"/>
      <c r="P573" s="232"/>
      <c r="Q573" s="232"/>
      <c r="R573" s="232"/>
      <c r="S573" s="232"/>
      <c r="T573" s="232"/>
    </row>
    <row r="574" spans="1:20">
      <c r="A574" s="174">
        <v>320</v>
      </c>
      <c r="B574" s="326">
        <v>200</v>
      </c>
      <c r="C574" s="326">
        <v>200</v>
      </c>
      <c r="D574" s="326">
        <v>500</v>
      </c>
      <c r="E574" s="326">
        <v>0</v>
      </c>
      <c r="F574" s="326">
        <v>0</v>
      </c>
      <c r="G574" s="347" t="s">
        <v>2847</v>
      </c>
      <c r="H574" s="330" t="s">
        <v>1132</v>
      </c>
      <c r="I574" s="326"/>
      <c r="J574" s="326"/>
      <c r="K574" s="334">
        <f t="shared" si="8"/>
        <v>23410.93</v>
      </c>
      <c r="L574" s="334">
        <v>23410.93</v>
      </c>
      <c r="M574" s="334"/>
      <c r="N574" s="334">
        <v>34732.57</v>
      </c>
      <c r="O574" s="232"/>
      <c r="P574" s="232"/>
      <c r="Q574" s="232"/>
      <c r="R574" s="232"/>
      <c r="S574" s="232"/>
      <c r="T574" s="232"/>
    </row>
    <row r="575" spans="1:20">
      <c r="A575" s="174">
        <v>320</v>
      </c>
      <c r="B575" s="326">
        <v>200</v>
      </c>
      <c r="C575" s="326">
        <v>200</v>
      </c>
      <c r="D575" s="326">
        <v>600</v>
      </c>
      <c r="E575" s="326">
        <v>0</v>
      </c>
      <c r="F575" s="326">
        <v>0</v>
      </c>
      <c r="G575" s="348" t="s">
        <v>2848</v>
      </c>
      <c r="H575" s="331" t="s">
        <v>1115</v>
      </c>
      <c r="I575" s="326"/>
      <c r="J575" s="325"/>
      <c r="K575" s="335">
        <f t="shared" si="8"/>
        <v>0</v>
      </c>
      <c r="L575" s="335">
        <v>0</v>
      </c>
      <c r="M575" s="335"/>
      <c r="N575" s="335">
        <v>0</v>
      </c>
      <c r="O575" s="232"/>
      <c r="P575" s="232"/>
      <c r="Q575" s="232"/>
      <c r="R575" s="232"/>
      <c r="S575" s="232"/>
      <c r="T575" s="232"/>
    </row>
    <row r="576" spans="1:20">
      <c r="A576" s="174">
        <v>320</v>
      </c>
      <c r="B576" s="326">
        <v>200</v>
      </c>
      <c r="C576" s="326">
        <v>200</v>
      </c>
      <c r="D576" s="326">
        <v>600</v>
      </c>
      <c r="E576" s="326">
        <v>5</v>
      </c>
      <c r="F576" s="326">
        <v>0</v>
      </c>
      <c r="G576" s="347" t="s">
        <v>2849</v>
      </c>
      <c r="H576" s="330" t="s">
        <v>1116</v>
      </c>
      <c r="I576" s="326"/>
      <c r="J576" s="326"/>
      <c r="K576" s="334">
        <f t="shared" si="8"/>
        <v>0</v>
      </c>
      <c r="L576" s="334">
        <v>0</v>
      </c>
      <c r="M576" s="334"/>
      <c r="N576" s="334">
        <v>0</v>
      </c>
      <c r="O576" s="232"/>
      <c r="P576" s="232"/>
      <c r="Q576" s="232"/>
      <c r="R576" s="232"/>
      <c r="S576" s="232"/>
      <c r="T576" s="232"/>
    </row>
    <row r="577" spans="1:20">
      <c r="A577" s="174">
        <v>320</v>
      </c>
      <c r="B577" s="326">
        <v>200</v>
      </c>
      <c r="C577" s="326">
        <v>200</v>
      </c>
      <c r="D577" s="326">
        <v>600</v>
      </c>
      <c r="E577" s="326">
        <v>10</v>
      </c>
      <c r="F577" s="326">
        <v>0</v>
      </c>
      <c r="G577" s="347" t="s">
        <v>2850</v>
      </c>
      <c r="H577" s="330" t="s">
        <v>1117</v>
      </c>
      <c r="I577" s="326"/>
      <c r="J577" s="326"/>
      <c r="K577" s="334">
        <f t="shared" si="8"/>
        <v>0</v>
      </c>
      <c r="L577" s="334">
        <v>0</v>
      </c>
      <c r="M577" s="334"/>
      <c r="N577" s="334">
        <v>0</v>
      </c>
      <c r="O577" s="232"/>
      <c r="P577" s="232"/>
      <c r="Q577" s="232"/>
      <c r="R577" s="232"/>
      <c r="S577" s="232"/>
      <c r="T577" s="232"/>
    </row>
    <row r="578" spans="1:20">
      <c r="A578" s="174">
        <v>320</v>
      </c>
      <c r="B578" s="326">
        <v>200</v>
      </c>
      <c r="C578" s="326">
        <v>200</v>
      </c>
      <c r="D578" s="326">
        <v>600</v>
      </c>
      <c r="E578" s="326">
        <v>15</v>
      </c>
      <c r="F578" s="326">
        <v>0</v>
      </c>
      <c r="G578" s="347" t="s">
        <v>2851</v>
      </c>
      <c r="H578" s="330" t="s">
        <v>1146</v>
      </c>
      <c r="I578" s="326"/>
      <c r="J578" s="326"/>
      <c r="K578" s="334">
        <f t="shared" si="8"/>
        <v>21.45</v>
      </c>
      <c r="L578" s="334">
        <v>21.45</v>
      </c>
      <c r="M578" s="334"/>
      <c r="N578" s="334">
        <v>345.67</v>
      </c>
      <c r="O578" s="232"/>
      <c r="P578" s="232"/>
      <c r="Q578" s="232"/>
      <c r="R578" s="232"/>
      <c r="S578" s="232"/>
      <c r="T578" s="232"/>
    </row>
    <row r="579" spans="1:20">
      <c r="A579" s="174">
        <v>320</v>
      </c>
      <c r="B579" s="326">
        <v>200</v>
      </c>
      <c r="C579" s="326">
        <v>200</v>
      </c>
      <c r="D579" s="326">
        <v>700</v>
      </c>
      <c r="E579" s="326">
        <v>0</v>
      </c>
      <c r="F579" s="326">
        <v>0</v>
      </c>
      <c r="G579" s="347" t="s">
        <v>2852</v>
      </c>
      <c r="H579" s="330" t="s">
        <v>1135</v>
      </c>
      <c r="I579" s="326"/>
      <c r="J579" s="326"/>
      <c r="K579" s="334">
        <f t="shared" si="8"/>
        <v>117268.58</v>
      </c>
      <c r="L579" s="334">
        <v>117268.58</v>
      </c>
      <c r="M579" s="334"/>
      <c r="N579" s="334">
        <v>135487.87</v>
      </c>
      <c r="O579" s="232"/>
      <c r="P579" s="232"/>
      <c r="Q579" s="232"/>
      <c r="R579" s="232"/>
      <c r="S579" s="232"/>
      <c r="T579" s="232"/>
    </row>
    <row r="580" spans="1:20" ht="25.5">
      <c r="A580" s="174">
        <v>320</v>
      </c>
      <c r="B580" s="326">
        <v>200</v>
      </c>
      <c r="C580" s="326">
        <v>201</v>
      </c>
      <c r="D580" s="326">
        <v>0</v>
      </c>
      <c r="E580" s="326">
        <v>0</v>
      </c>
      <c r="F580" s="326">
        <v>0</v>
      </c>
      <c r="G580" s="347" t="s">
        <v>2269</v>
      </c>
      <c r="H580" s="331" t="s">
        <v>2270</v>
      </c>
      <c r="I580" s="326" t="s">
        <v>1148</v>
      </c>
      <c r="J580" s="326"/>
      <c r="K580" s="335">
        <f t="shared" si="8"/>
        <v>0</v>
      </c>
      <c r="L580" s="335">
        <v>0</v>
      </c>
      <c r="M580" s="335"/>
      <c r="N580" s="335">
        <v>0</v>
      </c>
      <c r="O580" s="232"/>
      <c r="P580" s="232"/>
      <c r="Q580" s="232"/>
      <c r="R580" s="232"/>
      <c r="S580" s="232"/>
      <c r="T580" s="232"/>
    </row>
    <row r="581" spans="1:20">
      <c r="A581" s="174">
        <v>320</v>
      </c>
      <c r="B581" s="326">
        <v>200</v>
      </c>
      <c r="C581" s="326">
        <v>201</v>
      </c>
      <c r="D581" s="326">
        <v>100</v>
      </c>
      <c r="E581" s="326">
        <v>0</v>
      </c>
      <c r="F581" s="326">
        <v>0</v>
      </c>
      <c r="G581" s="347" t="s">
        <v>2271</v>
      </c>
      <c r="H581" s="330" t="s">
        <v>1107</v>
      </c>
      <c r="I581" s="326"/>
      <c r="J581" s="326"/>
      <c r="K581" s="334">
        <f t="shared" si="8"/>
        <v>989701.51</v>
      </c>
      <c r="L581" s="334">
        <v>989701.51</v>
      </c>
      <c r="M581" s="334"/>
      <c r="N581" s="334">
        <v>1252169.8</v>
      </c>
      <c r="O581" s="232"/>
      <c r="P581" s="232"/>
      <c r="Q581" s="232"/>
      <c r="R581" s="232"/>
      <c r="S581" s="232"/>
      <c r="T581" s="232"/>
    </row>
    <row r="582" spans="1:20">
      <c r="A582" s="174">
        <v>320</v>
      </c>
      <c r="B582" s="326">
        <v>200</v>
      </c>
      <c r="C582" s="326">
        <v>201</v>
      </c>
      <c r="D582" s="326">
        <v>200</v>
      </c>
      <c r="E582" s="326">
        <v>0</v>
      </c>
      <c r="F582" s="326">
        <v>0</v>
      </c>
      <c r="G582" s="347" t="s">
        <v>2272</v>
      </c>
      <c r="H582" s="330" t="s">
        <v>1143</v>
      </c>
      <c r="I582" s="326"/>
      <c r="J582" s="326"/>
      <c r="K582" s="334">
        <f t="shared" si="8"/>
        <v>0</v>
      </c>
      <c r="L582" s="334">
        <v>0</v>
      </c>
      <c r="M582" s="334"/>
      <c r="N582" s="334">
        <v>0</v>
      </c>
      <c r="O582" s="232"/>
      <c r="P582" s="232"/>
      <c r="Q582" s="232"/>
      <c r="R582" s="232"/>
      <c r="S582" s="232"/>
      <c r="T582" s="232"/>
    </row>
    <row r="583" spans="1:20">
      <c r="A583" s="174">
        <v>320</v>
      </c>
      <c r="B583" s="326">
        <v>200</v>
      </c>
      <c r="C583" s="326">
        <v>201</v>
      </c>
      <c r="D583" s="326">
        <v>300</v>
      </c>
      <c r="E583" s="326">
        <v>0</v>
      </c>
      <c r="F583" s="326">
        <v>0</v>
      </c>
      <c r="G583" s="347" t="s">
        <v>2273</v>
      </c>
      <c r="H583" s="330" t="s">
        <v>1144</v>
      </c>
      <c r="I583" s="326"/>
      <c r="J583" s="326"/>
      <c r="K583" s="334">
        <f t="shared" si="8"/>
        <v>0</v>
      </c>
      <c r="L583" s="334">
        <v>0</v>
      </c>
      <c r="M583" s="334"/>
      <c r="N583" s="334">
        <v>0</v>
      </c>
      <c r="O583" s="232"/>
      <c r="P583" s="232"/>
      <c r="Q583" s="232"/>
      <c r="R583" s="232"/>
      <c r="S583" s="232"/>
      <c r="T583" s="232"/>
    </row>
    <row r="584" spans="1:20">
      <c r="A584" s="174">
        <v>320</v>
      </c>
      <c r="B584" s="326">
        <v>200</v>
      </c>
      <c r="C584" s="326">
        <v>201</v>
      </c>
      <c r="D584" s="326">
        <v>301</v>
      </c>
      <c r="E584" s="326">
        <v>0</v>
      </c>
      <c r="F584" s="326">
        <v>0</v>
      </c>
      <c r="G584" s="347" t="s">
        <v>2274</v>
      </c>
      <c r="H584" s="330" t="s">
        <v>2275</v>
      </c>
      <c r="I584" s="326"/>
      <c r="J584" s="326"/>
      <c r="K584" s="334">
        <f t="shared" si="8"/>
        <v>80688.62</v>
      </c>
      <c r="L584" s="334">
        <v>80688.62</v>
      </c>
      <c r="M584" s="334"/>
      <c r="N584" s="334">
        <v>0</v>
      </c>
      <c r="O584" s="232"/>
      <c r="P584" s="232"/>
      <c r="Q584" s="232"/>
      <c r="R584" s="232"/>
      <c r="S584" s="232"/>
      <c r="T584" s="232"/>
    </row>
    <row r="585" spans="1:20">
      <c r="A585" s="174">
        <v>320</v>
      </c>
      <c r="B585" s="326">
        <v>200</v>
      </c>
      <c r="C585" s="326">
        <v>201</v>
      </c>
      <c r="D585" s="326">
        <v>302</v>
      </c>
      <c r="E585" s="326">
        <v>0</v>
      </c>
      <c r="F585" s="326">
        <v>0</v>
      </c>
      <c r="G585" s="347" t="s">
        <v>2276</v>
      </c>
      <c r="H585" s="330" t="s">
        <v>2277</v>
      </c>
      <c r="I585" s="326"/>
      <c r="J585" s="326"/>
      <c r="K585" s="334">
        <f t="shared" si="8"/>
        <v>0</v>
      </c>
      <c r="L585" s="334">
        <v>0</v>
      </c>
      <c r="M585" s="334"/>
      <c r="N585" s="334">
        <v>0</v>
      </c>
      <c r="O585" s="232"/>
      <c r="P585" s="232"/>
      <c r="Q585" s="232"/>
      <c r="R585" s="232"/>
      <c r="S585" s="232"/>
      <c r="T585" s="232"/>
    </row>
    <row r="586" spans="1:20">
      <c r="A586" s="174">
        <v>320</v>
      </c>
      <c r="B586" s="326">
        <v>200</v>
      </c>
      <c r="C586" s="326">
        <v>201</v>
      </c>
      <c r="D586" s="326">
        <v>400</v>
      </c>
      <c r="E586" s="326">
        <v>0</v>
      </c>
      <c r="F586" s="326">
        <v>0</v>
      </c>
      <c r="G586" s="347" t="s">
        <v>2278</v>
      </c>
      <c r="H586" s="330" t="s">
        <v>1145</v>
      </c>
      <c r="I586" s="326"/>
      <c r="J586" s="326"/>
      <c r="K586" s="334">
        <f t="shared" si="8"/>
        <v>187278.71727272728</v>
      </c>
      <c r="L586" s="334">
        <v>187278.71727272728</v>
      </c>
      <c r="M586" s="334"/>
      <c r="N586" s="334">
        <v>0</v>
      </c>
      <c r="O586" s="232"/>
      <c r="P586" s="232"/>
      <c r="Q586" s="232"/>
      <c r="R586" s="232"/>
      <c r="S586" s="232"/>
      <c r="T586" s="232"/>
    </row>
    <row r="587" spans="1:20">
      <c r="A587" s="174">
        <v>320</v>
      </c>
      <c r="B587" s="326">
        <v>200</v>
      </c>
      <c r="C587" s="326">
        <v>201</v>
      </c>
      <c r="D587" s="326">
        <v>500</v>
      </c>
      <c r="E587" s="326">
        <v>0</v>
      </c>
      <c r="F587" s="326">
        <v>0</v>
      </c>
      <c r="G587" s="347" t="s">
        <v>2279</v>
      </c>
      <c r="H587" s="330" t="s">
        <v>1132</v>
      </c>
      <c r="I587" s="326"/>
      <c r="J587" s="326"/>
      <c r="K587" s="334">
        <f t="shared" si="8"/>
        <v>0</v>
      </c>
      <c r="L587" s="334">
        <v>0</v>
      </c>
      <c r="M587" s="334"/>
      <c r="N587" s="334">
        <v>0</v>
      </c>
      <c r="O587" s="232"/>
      <c r="P587" s="232"/>
      <c r="Q587" s="232"/>
      <c r="R587" s="232"/>
      <c r="S587" s="232"/>
      <c r="T587" s="232"/>
    </row>
    <row r="588" spans="1:20">
      <c r="A588" s="174">
        <v>320</v>
      </c>
      <c r="B588" s="326">
        <v>200</v>
      </c>
      <c r="C588" s="326">
        <v>201</v>
      </c>
      <c r="D588" s="326">
        <v>600</v>
      </c>
      <c r="E588" s="326">
        <v>0</v>
      </c>
      <c r="F588" s="326">
        <v>0</v>
      </c>
      <c r="G588" s="347" t="s">
        <v>2280</v>
      </c>
      <c r="H588" s="330" t="s">
        <v>1115</v>
      </c>
      <c r="I588" s="326"/>
      <c r="J588" s="326"/>
      <c r="K588" s="334">
        <f t="shared" si="8"/>
        <v>0</v>
      </c>
      <c r="L588" s="334">
        <v>0</v>
      </c>
      <c r="M588" s="334"/>
      <c r="N588" s="334">
        <v>0</v>
      </c>
      <c r="O588" s="232"/>
      <c r="P588" s="232"/>
      <c r="Q588" s="232"/>
      <c r="R588" s="232"/>
      <c r="S588" s="232"/>
      <c r="T588" s="232"/>
    </row>
    <row r="589" spans="1:20">
      <c r="A589" s="174">
        <v>320</v>
      </c>
      <c r="B589" s="326">
        <v>200</v>
      </c>
      <c r="C589" s="326">
        <v>201</v>
      </c>
      <c r="D589" s="326">
        <v>600</v>
      </c>
      <c r="E589" s="326">
        <v>5</v>
      </c>
      <c r="F589" s="326">
        <v>0</v>
      </c>
      <c r="G589" s="347" t="s">
        <v>2281</v>
      </c>
      <c r="H589" s="330" t="s">
        <v>1116</v>
      </c>
      <c r="I589" s="326"/>
      <c r="J589" s="326"/>
      <c r="K589" s="334">
        <f t="shared" si="8"/>
        <v>0</v>
      </c>
      <c r="L589" s="334">
        <v>0</v>
      </c>
      <c r="M589" s="334"/>
      <c r="N589" s="334">
        <v>0</v>
      </c>
      <c r="O589" s="232"/>
      <c r="P589" s="232"/>
      <c r="Q589" s="232"/>
      <c r="R589" s="232"/>
      <c r="S589" s="232"/>
      <c r="T589" s="232"/>
    </row>
    <row r="590" spans="1:20">
      <c r="A590" s="174">
        <v>320</v>
      </c>
      <c r="B590" s="326">
        <v>200</v>
      </c>
      <c r="C590" s="326">
        <v>201</v>
      </c>
      <c r="D590" s="326">
        <v>600</v>
      </c>
      <c r="E590" s="326">
        <v>10</v>
      </c>
      <c r="F590" s="326">
        <v>0</v>
      </c>
      <c r="G590" s="347" t="s">
        <v>2282</v>
      </c>
      <c r="H590" s="330" t="s">
        <v>1117</v>
      </c>
      <c r="I590" s="326"/>
      <c r="J590" s="326"/>
      <c r="K590" s="334">
        <f t="shared" si="8"/>
        <v>0</v>
      </c>
      <c r="L590" s="334">
        <v>0</v>
      </c>
      <c r="M590" s="334"/>
      <c r="N590" s="334">
        <v>0</v>
      </c>
      <c r="O590" s="232"/>
      <c r="P590" s="232"/>
      <c r="Q590" s="232"/>
      <c r="R590" s="232"/>
      <c r="S590" s="232"/>
      <c r="T590" s="232"/>
    </row>
    <row r="591" spans="1:20">
      <c r="A591" s="174">
        <v>320</v>
      </c>
      <c r="B591" s="326">
        <v>200</v>
      </c>
      <c r="C591" s="326">
        <v>201</v>
      </c>
      <c r="D591" s="326">
        <v>600</v>
      </c>
      <c r="E591" s="326">
        <v>15</v>
      </c>
      <c r="F591" s="326">
        <v>0</v>
      </c>
      <c r="G591" s="347" t="s">
        <v>2283</v>
      </c>
      <c r="H591" s="330" t="s">
        <v>1146</v>
      </c>
      <c r="I591" s="326"/>
      <c r="J591" s="326"/>
      <c r="K591" s="334">
        <f t="shared" si="8"/>
        <v>610.37</v>
      </c>
      <c r="L591" s="334">
        <v>610.37</v>
      </c>
      <c r="M591" s="334"/>
      <c r="N591" s="334">
        <v>204.13</v>
      </c>
      <c r="O591" s="232"/>
      <c r="P591" s="232"/>
      <c r="Q591" s="232"/>
      <c r="R591" s="232"/>
      <c r="S591" s="232"/>
      <c r="T591" s="232"/>
    </row>
    <row r="592" spans="1:20">
      <c r="A592" s="174">
        <v>320</v>
      </c>
      <c r="B592" s="326">
        <v>200</v>
      </c>
      <c r="C592" s="326">
        <v>201</v>
      </c>
      <c r="D592" s="326">
        <v>700</v>
      </c>
      <c r="E592" s="326">
        <v>0</v>
      </c>
      <c r="F592" s="326">
        <v>0</v>
      </c>
      <c r="G592" s="347" t="s">
        <v>2284</v>
      </c>
      <c r="H592" s="330" t="s">
        <v>1135</v>
      </c>
      <c r="I592" s="326"/>
      <c r="J592" s="326"/>
      <c r="K592" s="334">
        <f t="shared" si="8"/>
        <v>394279.63</v>
      </c>
      <c r="L592" s="334">
        <v>394279.63</v>
      </c>
      <c r="M592" s="334"/>
      <c r="N592" s="334">
        <v>397359.85</v>
      </c>
      <c r="O592" s="232"/>
      <c r="P592" s="232"/>
      <c r="Q592" s="232"/>
      <c r="R592" s="232"/>
      <c r="S592" s="232"/>
      <c r="T592" s="232"/>
    </row>
    <row r="593" spans="1:20" ht="25.5">
      <c r="A593" s="174">
        <v>320</v>
      </c>
      <c r="B593" s="326">
        <v>200</v>
      </c>
      <c r="C593" s="326">
        <v>202</v>
      </c>
      <c r="D593" s="326">
        <v>0</v>
      </c>
      <c r="E593" s="326">
        <v>0</v>
      </c>
      <c r="F593" s="326">
        <v>0</v>
      </c>
      <c r="G593" s="347" t="s">
        <v>2285</v>
      </c>
      <c r="H593" s="331" t="s">
        <v>2286</v>
      </c>
      <c r="I593" s="326" t="s">
        <v>1148</v>
      </c>
      <c r="J593" s="326"/>
      <c r="K593" s="335">
        <f t="shared" si="8"/>
        <v>0</v>
      </c>
      <c r="L593" s="335">
        <v>0</v>
      </c>
      <c r="M593" s="335"/>
      <c r="N593" s="335"/>
      <c r="O593" s="232"/>
      <c r="P593" s="232"/>
      <c r="Q593" s="232"/>
      <c r="R593" s="232"/>
      <c r="S593" s="232"/>
      <c r="T593" s="232"/>
    </row>
    <row r="594" spans="1:20">
      <c r="A594" s="174">
        <v>320</v>
      </c>
      <c r="B594" s="326">
        <v>200</v>
      </c>
      <c r="C594" s="326">
        <v>202</v>
      </c>
      <c r="D594" s="326">
        <v>100</v>
      </c>
      <c r="E594" s="326">
        <v>0</v>
      </c>
      <c r="F594" s="326">
        <v>0</v>
      </c>
      <c r="G594" s="347" t="s">
        <v>2287</v>
      </c>
      <c r="H594" s="330" t="s">
        <v>1107</v>
      </c>
      <c r="I594" s="326"/>
      <c r="J594" s="326"/>
      <c r="K594" s="334">
        <f t="shared" si="8"/>
        <v>283339.23</v>
      </c>
      <c r="L594" s="334">
        <v>283339.23</v>
      </c>
      <c r="M594" s="334"/>
      <c r="N594" s="334">
        <v>505697.36</v>
      </c>
      <c r="O594" s="232"/>
      <c r="P594" s="232"/>
      <c r="Q594" s="232"/>
      <c r="R594" s="232"/>
      <c r="S594" s="232"/>
      <c r="T594" s="232"/>
    </row>
    <row r="595" spans="1:20">
      <c r="A595" s="174">
        <v>320</v>
      </c>
      <c r="B595" s="326">
        <v>200</v>
      </c>
      <c r="C595" s="326">
        <v>202</v>
      </c>
      <c r="D595" s="326">
        <v>200</v>
      </c>
      <c r="E595" s="326">
        <v>0</v>
      </c>
      <c r="F595" s="326">
        <v>0</v>
      </c>
      <c r="G595" s="347" t="s">
        <v>2288</v>
      </c>
      <c r="H595" s="330" t="s">
        <v>1143</v>
      </c>
      <c r="I595" s="326"/>
      <c r="J595" s="326"/>
      <c r="K595" s="334">
        <f t="shared" si="8"/>
        <v>2166.91</v>
      </c>
      <c r="L595" s="334">
        <v>2166.91</v>
      </c>
      <c r="M595" s="334"/>
      <c r="N595" s="334">
        <v>0</v>
      </c>
      <c r="O595" s="232"/>
      <c r="P595" s="232"/>
      <c r="Q595" s="232"/>
      <c r="R595" s="232"/>
      <c r="S595" s="232"/>
      <c r="T595" s="232"/>
    </row>
    <row r="596" spans="1:20">
      <c r="A596" s="174">
        <v>320</v>
      </c>
      <c r="B596" s="326">
        <v>200</v>
      </c>
      <c r="C596" s="326">
        <v>202</v>
      </c>
      <c r="D596" s="326">
        <v>300</v>
      </c>
      <c r="E596" s="326">
        <v>0</v>
      </c>
      <c r="F596" s="326">
        <v>0</v>
      </c>
      <c r="G596" s="347" t="s">
        <v>2289</v>
      </c>
      <c r="H596" s="330" t="s">
        <v>1144</v>
      </c>
      <c r="I596" s="326"/>
      <c r="J596" s="326"/>
      <c r="K596" s="334">
        <f t="shared" si="8"/>
        <v>0</v>
      </c>
      <c r="L596" s="334">
        <v>0</v>
      </c>
      <c r="M596" s="334"/>
      <c r="N596" s="334">
        <v>0</v>
      </c>
      <c r="O596" s="232"/>
      <c r="P596" s="232"/>
      <c r="Q596" s="232"/>
      <c r="R596" s="232"/>
      <c r="S596" s="232"/>
      <c r="T596" s="232"/>
    </row>
    <row r="597" spans="1:20">
      <c r="A597" s="174">
        <v>320</v>
      </c>
      <c r="B597" s="326">
        <v>200</v>
      </c>
      <c r="C597" s="326">
        <v>202</v>
      </c>
      <c r="D597" s="326">
        <v>301</v>
      </c>
      <c r="E597" s="326">
        <v>0</v>
      </c>
      <c r="F597" s="326">
        <v>0</v>
      </c>
      <c r="G597" s="347" t="s">
        <v>2290</v>
      </c>
      <c r="H597" s="330" t="s">
        <v>2275</v>
      </c>
      <c r="I597" s="326"/>
      <c r="J597" s="326"/>
      <c r="K597" s="334">
        <f t="shared" si="8"/>
        <v>10912.19</v>
      </c>
      <c r="L597" s="334">
        <v>10912.19</v>
      </c>
      <c r="M597" s="334"/>
      <c r="N597" s="334">
        <v>0</v>
      </c>
      <c r="O597" s="232"/>
      <c r="P597" s="232"/>
      <c r="Q597" s="232"/>
      <c r="R597" s="232"/>
      <c r="S597" s="232"/>
      <c r="T597" s="232"/>
    </row>
    <row r="598" spans="1:20">
      <c r="A598" s="174">
        <v>320</v>
      </c>
      <c r="B598" s="326">
        <v>200</v>
      </c>
      <c r="C598" s="326">
        <v>202</v>
      </c>
      <c r="D598" s="326">
        <v>302</v>
      </c>
      <c r="E598" s="326">
        <v>0</v>
      </c>
      <c r="F598" s="326">
        <v>0</v>
      </c>
      <c r="G598" s="347" t="s">
        <v>2291</v>
      </c>
      <c r="H598" s="330" t="s">
        <v>2277</v>
      </c>
      <c r="I598" s="326"/>
      <c r="J598" s="326"/>
      <c r="K598" s="334">
        <f t="shared" si="8"/>
        <v>10718.16</v>
      </c>
      <c r="L598" s="334">
        <v>10718.16</v>
      </c>
      <c r="M598" s="334"/>
      <c r="N598" s="334">
        <v>0</v>
      </c>
      <c r="O598" s="232"/>
      <c r="P598" s="232"/>
      <c r="Q598" s="232"/>
      <c r="R598" s="232"/>
      <c r="S598" s="232"/>
      <c r="T598" s="232"/>
    </row>
    <row r="599" spans="1:20">
      <c r="A599" s="174">
        <v>320</v>
      </c>
      <c r="B599" s="326">
        <v>200</v>
      </c>
      <c r="C599" s="326">
        <v>202</v>
      </c>
      <c r="D599" s="326">
        <v>400</v>
      </c>
      <c r="E599" s="326">
        <v>0</v>
      </c>
      <c r="F599" s="326">
        <v>0</v>
      </c>
      <c r="G599" s="347" t="s">
        <v>2292</v>
      </c>
      <c r="H599" s="330" t="s">
        <v>1145</v>
      </c>
      <c r="I599" s="326"/>
      <c r="J599" s="326"/>
      <c r="K599" s="334">
        <f t="shared" si="8"/>
        <v>51204.610909090916</v>
      </c>
      <c r="L599" s="334">
        <v>51204.610909090916</v>
      </c>
      <c r="M599" s="334"/>
      <c r="N599" s="334">
        <v>0</v>
      </c>
      <c r="O599" s="232"/>
      <c r="P599" s="232"/>
      <c r="Q599" s="232"/>
      <c r="R599" s="232"/>
      <c r="S599" s="232"/>
      <c r="T599" s="232"/>
    </row>
    <row r="600" spans="1:20">
      <c r="A600" s="174">
        <v>320</v>
      </c>
      <c r="B600" s="326">
        <v>200</v>
      </c>
      <c r="C600" s="326">
        <v>202</v>
      </c>
      <c r="D600" s="326">
        <v>500</v>
      </c>
      <c r="E600" s="326">
        <v>0</v>
      </c>
      <c r="F600" s="326">
        <v>0</v>
      </c>
      <c r="G600" s="347" t="s">
        <v>2293</v>
      </c>
      <c r="H600" s="330" t="s">
        <v>1132</v>
      </c>
      <c r="I600" s="326"/>
      <c r="J600" s="326"/>
      <c r="K600" s="334">
        <f t="shared" si="8"/>
        <v>0</v>
      </c>
      <c r="L600" s="334">
        <v>0</v>
      </c>
      <c r="M600" s="334"/>
      <c r="N600" s="334">
        <v>0</v>
      </c>
      <c r="O600" s="232"/>
      <c r="P600" s="232"/>
      <c r="Q600" s="232"/>
      <c r="R600" s="232"/>
      <c r="S600" s="232"/>
      <c r="T600" s="232"/>
    </row>
    <row r="601" spans="1:20">
      <c r="A601" s="174">
        <v>320</v>
      </c>
      <c r="B601" s="326">
        <v>200</v>
      </c>
      <c r="C601" s="326">
        <v>202</v>
      </c>
      <c r="D601" s="326">
        <v>600</v>
      </c>
      <c r="E601" s="326">
        <v>0</v>
      </c>
      <c r="F601" s="326">
        <v>0</v>
      </c>
      <c r="G601" s="347" t="s">
        <v>2294</v>
      </c>
      <c r="H601" s="330" t="s">
        <v>1115</v>
      </c>
      <c r="I601" s="326"/>
      <c r="J601" s="326"/>
      <c r="K601" s="334">
        <f t="shared" si="8"/>
        <v>0</v>
      </c>
      <c r="L601" s="334">
        <v>0</v>
      </c>
      <c r="M601" s="334"/>
      <c r="N601" s="334">
        <v>0</v>
      </c>
      <c r="O601" s="232"/>
      <c r="P601" s="232"/>
      <c r="Q601" s="232"/>
      <c r="R601" s="232"/>
      <c r="S601" s="232"/>
      <c r="T601" s="232"/>
    </row>
    <row r="602" spans="1:20">
      <c r="A602" s="174">
        <v>320</v>
      </c>
      <c r="B602" s="326">
        <v>200</v>
      </c>
      <c r="C602" s="326">
        <v>202</v>
      </c>
      <c r="D602" s="326">
        <v>600</v>
      </c>
      <c r="E602" s="326">
        <v>5</v>
      </c>
      <c r="F602" s="326">
        <v>0</v>
      </c>
      <c r="G602" s="347" t="s">
        <v>2295</v>
      </c>
      <c r="H602" s="330" t="s">
        <v>1116</v>
      </c>
      <c r="I602" s="326"/>
      <c r="J602" s="326"/>
      <c r="K602" s="334">
        <f t="shared" si="8"/>
        <v>0</v>
      </c>
      <c r="L602" s="334">
        <v>0</v>
      </c>
      <c r="M602" s="334"/>
      <c r="N602" s="334">
        <v>0</v>
      </c>
      <c r="O602" s="232"/>
      <c r="P602" s="232"/>
      <c r="Q602" s="232"/>
      <c r="R602" s="232"/>
      <c r="S602" s="232"/>
      <c r="T602" s="232"/>
    </row>
    <row r="603" spans="1:20">
      <c r="A603" s="174">
        <v>320</v>
      </c>
      <c r="B603" s="326">
        <v>200</v>
      </c>
      <c r="C603" s="326">
        <v>202</v>
      </c>
      <c r="D603" s="326">
        <v>600</v>
      </c>
      <c r="E603" s="326">
        <v>10</v>
      </c>
      <c r="F603" s="326">
        <v>0</v>
      </c>
      <c r="G603" s="347" t="s">
        <v>2296</v>
      </c>
      <c r="H603" s="330" t="s">
        <v>1117</v>
      </c>
      <c r="I603" s="326"/>
      <c r="J603" s="326"/>
      <c r="K603" s="334">
        <f t="shared" si="8"/>
        <v>0</v>
      </c>
      <c r="L603" s="334">
        <v>0</v>
      </c>
      <c r="M603" s="334"/>
      <c r="N603" s="334">
        <v>0</v>
      </c>
      <c r="O603" s="232"/>
      <c r="P603" s="232"/>
      <c r="Q603" s="232"/>
      <c r="R603" s="232"/>
      <c r="S603" s="232"/>
      <c r="T603" s="232"/>
    </row>
    <row r="604" spans="1:20">
      <c r="A604" s="174">
        <v>320</v>
      </c>
      <c r="B604" s="326">
        <v>200</v>
      </c>
      <c r="C604" s="326">
        <v>202</v>
      </c>
      <c r="D604" s="326">
        <v>600</v>
      </c>
      <c r="E604" s="326">
        <v>15</v>
      </c>
      <c r="F604" s="326">
        <v>0</v>
      </c>
      <c r="G604" s="347" t="s">
        <v>2297</v>
      </c>
      <c r="H604" s="330" t="s">
        <v>1146</v>
      </c>
      <c r="I604" s="326"/>
      <c r="J604" s="326"/>
      <c r="K604" s="334">
        <f t="shared" si="8"/>
        <v>54</v>
      </c>
      <c r="L604" s="334">
        <v>54</v>
      </c>
      <c r="M604" s="334"/>
      <c r="N604" s="334">
        <v>392.78</v>
      </c>
      <c r="O604" s="232"/>
      <c r="P604" s="232"/>
      <c r="Q604" s="232"/>
      <c r="R604" s="232"/>
      <c r="S604" s="232"/>
      <c r="T604" s="232"/>
    </row>
    <row r="605" spans="1:20">
      <c r="A605" s="174">
        <v>320</v>
      </c>
      <c r="B605" s="326">
        <v>200</v>
      </c>
      <c r="C605" s="326">
        <v>202</v>
      </c>
      <c r="D605" s="326">
        <v>700</v>
      </c>
      <c r="E605" s="326">
        <v>0</v>
      </c>
      <c r="F605" s="326">
        <v>0</v>
      </c>
      <c r="G605" s="347" t="s">
        <v>2298</v>
      </c>
      <c r="H605" s="330" t="s">
        <v>1135</v>
      </c>
      <c r="I605" s="326"/>
      <c r="J605" s="326"/>
      <c r="K605" s="334">
        <f t="shared" si="8"/>
        <v>112187.22</v>
      </c>
      <c r="L605" s="334">
        <v>112187.22</v>
      </c>
      <c r="M605" s="334"/>
      <c r="N605" s="334">
        <v>160559.57999999999</v>
      </c>
      <c r="O605" s="232"/>
      <c r="P605" s="232"/>
      <c r="Q605" s="232"/>
      <c r="R605" s="232"/>
      <c r="S605" s="232"/>
      <c r="T605" s="232"/>
    </row>
    <row r="606" spans="1:20">
      <c r="A606" s="174">
        <v>320</v>
      </c>
      <c r="B606" s="326">
        <v>200</v>
      </c>
      <c r="C606" s="326">
        <v>300</v>
      </c>
      <c r="D606" s="326">
        <v>0</v>
      </c>
      <c r="E606" s="326">
        <v>0</v>
      </c>
      <c r="F606" s="326">
        <v>0</v>
      </c>
      <c r="G606" s="330" t="s">
        <v>2853</v>
      </c>
      <c r="H606" s="330" t="s">
        <v>1149</v>
      </c>
      <c r="I606" s="326" t="s">
        <v>1150</v>
      </c>
      <c r="J606" s="326"/>
      <c r="K606" s="334">
        <f t="shared" si="8"/>
        <v>0</v>
      </c>
      <c r="L606" s="334">
        <v>0</v>
      </c>
      <c r="M606" s="334"/>
      <c r="N606" s="334"/>
      <c r="O606" s="232"/>
      <c r="P606" s="232"/>
      <c r="Q606" s="232"/>
      <c r="R606" s="232"/>
      <c r="S606" s="232"/>
      <c r="T606" s="232"/>
    </row>
    <row r="607" spans="1:20">
      <c r="A607" s="404">
        <v>325</v>
      </c>
      <c r="B607" s="405">
        <v>0</v>
      </c>
      <c r="C607" s="405">
        <v>0</v>
      </c>
      <c r="D607" s="405">
        <v>0</v>
      </c>
      <c r="E607" s="405">
        <v>0</v>
      </c>
      <c r="F607" s="405">
        <v>0</v>
      </c>
      <c r="G607" s="339">
        <v>325</v>
      </c>
      <c r="H607" s="339" t="s">
        <v>1151</v>
      </c>
      <c r="I607" s="52" t="s">
        <v>1152</v>
      </c>
      <c r="J607" s="52"/>
      <c r="K607" s="335">
        <f t="shared" si="8"/>
        <v>0</v>
      </c>
      <c r="L607" s="335">
        <v>0</v>
      </c>
      <c r="M607" s="335"/>
      <c r="N607" s="335"/>
      <c r="O607" s="232"/>
      <c r="P607" s="232"/>
      <c r="Q607" s="232"/>
      <c r="R607" s="232"/>
      <c r="S607" s="232"/>
      <c r="T607" s="232"/>
    </row>
    <row r="608" spans="1:20">
      <c r="A608" s="174">
        <v>325</v>
      </c>
      <c r="B608" s="326">
        <v>100</v>
      </c>
      <c r="C608" s="326">
        <v>0</v>
      </c>
      <c r="D608" s="326">
        <v>0</v>
      </c>
      <c r="E608" s="326">
        <v>0</v>
      </c>
      <c r="F608" s="326">
        <v>0</v>
      </c>
      <c r="G608" s="331" t="s">
        <v>2854</v>
      </c>
      <c r="H608" s="331" t="s">
        <v>1153</v>
      </c>
      <c r="I608" s="326" t="s">
        <v>1154</v>
      </c>
      <c r="J608" s="325"/>
      <c r="K608" s="335">
        <f t="shared" si="8"/>
        <v>0</v>
      </c>
      <c r="L608" s="335">
        <v>0</v>
      </c>
      <c r="M608" s="335"/>
      <c r="N608" s="335"/>
      <c r="O608" s="232"/>
      <c r="P608" s="232"/>
      <c r="Q608" s="232"/>
      <c r="R608" s="232"/>
      <c r="S608" s="232"/>
      <c r="T608" s="232"/>
    </row>
    <row r="609" spans="1:20" ht="25.5">
      <c r="A609" s="174">
        <v>325</v>
      </c>
      <c r="B609" s="326">
        <v>100</v>
      </c>
      <c r="C609" s="326">
        <v>100</v>
      </c>
      <c r="D609" s="326">
        <v>0</v>
      </c>
      <c r="E609" s="326">
        <v>0</v>
      </c>
      <c r="F609" s="326">
        <v>0</v>
      </c>
      <c r="G609" s="331" t="s">
        <v>2855</v>
      </c>
      <c r="H609" s="331" t="s">
        <v>1155</v>
      </c>
      <c r="I609" s="326" t="s">
        <v>1156</v>
      </c>
      <c r="J609" s="325"/>
      <c r="K609" s="335">
        <f t="shared" ref="K609:K682" si="9">+L609+M609</f>
        <v>0</v>
      </c>
      <c r="L609" s="335">
        <v>0</v>
      </c>
      <c r="M609" s="335"/>
      <c r="N609" s="335"/>
      <c r="O609" s="232"/>
      <c r="P609" s="232"/>
      <c r="Q609" s="232"/>
      <c r="R609" s="232"/>
      <c r="S609" s="232"/>
      <c r="T609" s="232"/>
    </row>
    <row r="610" spans="1:20">
      <c r="A610" s="174">
        <v>325</v>
      </c>
      <c r="B610" s="326">
        <v>100</v>
      </c>
      <c r="C610" s="326">
        <v>100</v>
      </c>
      <c r="D610" s="326">
        <v>100</v>
      </c>
      <c r="E610" s="326">
        <v>0</v>
      </c>
      <c r="F610" s="326">
        <v>0</v>
      </c>
      <c r="G610" s="347" t="s">
        <v>2856</v>
      </c>
      <c r="H610" s="330" t="s">
        <v>1107</v>
      </c>
      <c r="I610" s="326"/>
      <c r="J610" s="326"/>
      <c r="K610" s="334">
        <f t="shared" si="9"/>
        <v>94876.55</v>
      </c>
      <c r="L610" s="334">
        <v>94876.55</v>
      </c>
      <c r="M610" s="334"/>
      <c r="N610" s="334">
        <v>63287.47</v>
      </c>
      <c r="O610" s="232"/>
      <c r="P610" s="232"/>
      <c r="Q610" s="232"/>
      <c r="R610" s="232"/>
      <c r="S610" s="232"/>
      <c r="T610" s="232"/>
    </row>
    <row r="611" spans="1:20">
      <c r="A611" s="174">
        <v>325</v>
      </c>
      <c r="B611" s="326">
        <v>100</v>
      </c>
      <c r="C611" s="326">
        <v>100</v>
      </c>
      <c r="D611" s="326">
        <v>200</v>
      </c>
      <c r="E611" s="326">
        <v>0</v>
      </c>
      <c r="F611" s="326">
        <v>0</v>
      </c>
      <c r="G611" s="347" t="s">
        <v>2857</v>
      </c>
      <c r="H611" s="330" t="s">
        <v>1108</v>
      </c>
      <c r="I611" s="326"/>
      <c r="J611" s="326"/>
      <c r="K611" s="334">
        <f t="shared" si="9"/>
        <v>56200.81</v>
      </c>
      <c r="L611" s="334">
        <v>56200.81</v>
      </c>
      <c r="M611" s="334"/>
      <c r="N611" s="334">
        <v>30626.38</v>
      </c>
      <c r="O611" s="232"/>
      <c r="P611" s="232"/>
      <c r="Q611" s="232"/>
      <c r="R611" s="232"/>
      <c r="S611" s="232"/>
      <c r="T611" s="232"/>
    </row>
    <row r="612" spans="1:20">
      <c r="A612" s="174">
        <v>325</v>
      </c>
      <c r="B612" s="326">
        <v>100</v>
      </c>
      <c r="C612" s="326">
        <v>100</v>
      </c>
      <c r="D612" s="326">
        <v>300</v>
      </c>
      <c r="E612" s="326">
        <v>0</v>
      </c>
      <c r="F612" s="326">
        <v>0</v>
      </c>
      <c r="G612" s="347" t="s">
        <v>2858</v>
      </c>
      <c r="H612" s="330" t="s">
        <v>1131</v>
      </c>
      <c r="I612" s="326"/>
      <c r="J612" s="326"/>
      <c r="K612" s="334">
        <f t="shared" si="9"/>
        <v>14272.58</v>
      </c>
      <c r="L612" s="334">
        <v>14272.58</v>
      </c>
      <c r="M612" s="334"/>
      <c r="N612" s="334">
        <v>7935.53</v>
      </c>
      <c r="O612" s="232"/>
      <c r="P612" s="232"/>
      <c r="Q612" s="232"/>
      <c r="R612" s="232"/>
      <c r="S612" s="232"/>
      <c r="T612" s="232"/>
    </row>
    <row r="613" spans="1:20">
      <c r="A613" s="174">
        <v>325</v>
      </c>
      <c r="B613" s="326">
        <v>100</v>
      </c>
      <c r="C613" s="326">
        <v>100</v>
      </c>
      <c r="D613" s="326">
        <v>400</v>
      </c>
      <c r="E613" s="326">
        <v>0</v>
      </c>
      <c r="F613" s="326">
        <v>0</v>
      </c>
      <c r="G613" s="347" t="s">
        <v>2859</v>
      </c>
      <c r="H613" s="330" t="s">
        <v>1132</v>
      </c>
      <c r="I613" s="326"/>
      <c r="J613" s="326"/>
      <c r="K613" s="334">
        <f t="shared" si="9"/>
        <v>432.77</v>
      </c>
      <c r="L613" s="334">
        <v>432.77</v>
      </c>
      <c r="M613" s="334"/>
      <c r="N613" s="334">
        <v>419.88</v>
      </c>
      <c r="O613" s="232"/>
      <c r="P613" s="232"/>
      <c r="Q613" s="232"/>
      <c r="R613" s="232"/>
      <c r="S613" s="232"/>
      <c r="T613" s="232"/>
    </row>
    <row r="614" spans="1:20">
      <c r="A614" s="174">
        <v>325</v>
      </c>
      <c r="B614" s="326">
        <v>100</v>
      </c>
      <c r="C614" s="326">
        <v>100</v>
      </c>
      <c r="D614" s="326">
        <v>500</v>
      </c>
      <c r="E614" s="326">
        <v>0</v>
      </c>
      <c r="F614" s="326">
        <v>0</v>
      </c>
      <c r="G614" s="348" t="s">
        <v>2860</v>
      </c>
      <c r="H614" s="331" t="s">
        <v>1115</v>
      </c>
      <c r="I614" s="326"/>
      <c r="J614" s="325"/>
      <c r="K614" s="335">
        <f t="shared" si="9"/>
        <v>0</v>
      </c>
      <c r="L614" s="335">
        <v>0</v>
      </c>
      <c r="M614" s="335"/>
      <c r="N614" s="335">
        <v>0</v>
      </c>
      <c r="O614" s="232"/>
      <c r="P614" s="232"/>
      <c r="Q614" s="232"/>
      <c r="R614" s="232"/>
      <c r="S614" s="232"/>
      <c r="T614" s="232"/>
    </row>
    <row r="615" spans="1:20">
      <c r="A615" s="174">
        <v>325</v>
      </c>
      <c r="B615" s="326">
        <v>100</v>
      </c>
      <c r="C615" s="326">
        <v>100</v>
      </c>
      <c r="D615" s="326">
        <v>500</v>
      </c>
      <c r="E615" s="326">
        <v>5</v>
      </c>
      <c r="F615" s="326">
        <v>0</v>
      </c>
      <c r="G615" s="347" t="s">
        <v>2861</v>
      </c>
      <c r="H615" s="330" t="s">
        <v>1116</v>
      </c>
      <c r="I615" s="326"/>
      <c r="J615" s="326"/>
      <c r="K615" s="334">
        <f t="shared" si="9"/>
        <v>0</v>
      </c>
      <c r="L615" s="334">
        <v>0</v>
      </c>
      <c r="M615" s="334"/>
      <c r="N615" s="334">
        <v>0</v>
      </c>
      <c r="O615" s="232"/>
      <c r="P615" s="232"/>
      <c r="Q615" s="232"/>
      <c r="R615" s="232"/>
      <c r="S615" s="232"/>
      <c r="T615" s="232"/>
    </row>
    <row r="616" spans="1:20">
      <c r="A616" s="174">
        <v>325</v>
      </c>
      <c r="B616" s="326">
        <v>100</v>
      </c>
      <c r="C616" s="326">
        <v>100</v>
      </c>
      <c r="D616" s="326">
        <v>500</v>
      </c>
      <c r="E616" s="326">
        <v>10</v>
      </c>
      <c r="F616" s="326">
        <v>0</v>
      </c>
      <c r="G616" s="347" t="s">
        <v>2862</v>
      </c>
      <c r="H616" s="330" t="s">
        <v>1117</v>
      </c>
      <c r="I616" s="326"/>
      <c r="J616" s="326"/>
      <c r="K616" s="334">
        <f t="shared" si="9"/>
        <v>0</v>
      </c>
      <c r="L616" s="334">
        <v>0</v>
      </c>
      <c r="M616" s="334"/>
      <c r="N616" s="334">
        <v>0</v>
      </c>
      <c r="O616" s="232"/>
      <c r="P616" s="232"/>
      <c r="Q616" s="232"/>
      <c r="R616" s="232"/>
      <c r="S616" s="232"/>
      <c r="T616" s="232"/>
    </row>
    <row r="617" spans="1:20" ht="25.5">
      <c r="A617" s="174">
        <v>325</v>
      </c>
      <c r="B617" s="326">
        <v>100</v>
      </c>
      <c r="C617" s="326">
        <v>100</v>
      </c>
      <c r="D617" s="326">
        <v>500</v>
      </c>
      <c r="E617" s="326">
        <v>15</v>
      </c>
      <c r="F617" s="326">
        <v>0</v>
      </c>
      <c r="G617" s="347" t="s">
        <v>2863</v>
      </c>
      <c r="H617" s="330" t="s">
        <v>1157</v>
      </c>
      <c r="I617" s="326"/>
      <c r="J617" s="326"/>
      <c r="K617" s="334">
        <f t="shared" si="9"/>
        <v>11730.95</v>
      </c>
      <c r="L617" s="334">
        <v>11730.95</v>
      </c>
      <c r="M617" s="334"/>
      <c r="N617" s="334">
        <v>8372.7999999999993</v>
      </c>
      <c r="O617" s="232"/>
      <c r="P617" s="232"/>
      <c r="Q617" s="232"/>
      <c r="R617" s="232"/>
      <c r="S617" s="232"/>
      <c r="T617" s="232"/>
    </row>
    <row r="618" spans="1:20">
      <c r="A618" s="174">
        <v>325</v>
      </c>
      <c r="B618" s="326">
        <v>100</v>
      </c>
      <c r="C618" s="326">
        <v>100</v>
      </c>
      <c r="D618" s="326">
        <v>900</v>
      </c>
      <c r="E618" s="326">
        <v>0</v>
      </c>
      <c r="F618" s="326">
        <v>0</v>
      </c>
      <c r="G618" s="347" t="s">
        <v>2864</v>
      </c>
      <c r="H618" s="330" t="s">
        <v>1135</v>
      </c>
      <c r="I618" s="326"/>
      <c r="J618" s="326"/>
      <c r="K618" s="334">
        <f t="shared" si="9"/>
        <v>50906.45</v>
      </c>
      <c r="L618" s="334">
        <v>50906.45</v>
      </c>
      <c r="M618" s="334"/>
      <c r="N618" s="334">
        <v>31785.93</v>
      </c>
      <c r="O618" s="232"/>
      <c r="P618" s="232"/>
      <c r="Q618" s="232"/>
      <c r="R618" s="232"/>
      <c r="S618" s="232"/>
      <c r="T618" s="232"/>
    </row>
    <row r="619" spans="1:20" ht="25.5">
      <c r="A619" s="174">
        <v>325</v>
      </c>
      <c r="B619" s="326">
        <v>100</v>
      </c>
      <c r="C619" s="326">
        <v>200</v>
      </c>
      <c r="D619" s="326">
        <v>0</v>
      </c>
      <c r="E619" s="326">
        <v>0</v>
      </c>
      <c r="F619" s="326">
        <v>0</v>
      </c>
      <c r="G619" s="331" t="s">
        <v>2865</v>
      </c>
      <c r="H619" s="331" t="s">
        <v>1158</v>
      </c>
      <c r="I619" s="326" t="s">
        <v>1159</v>
      </c>
      <c r="J619" s="325"/>
      <c r="K619" s="335">
        <f t="shared" si="9"/>
        <v>0</v>
      </c>
      <c r="L619" s="335">
        <v>0</v>
      </c>
      <c r="M619" s="335"/>
      <c r="N619" s="335">
        <v>0</v>
      </c>
      <c r="O619" s="232"/>
      <c r="P619" s="232"/>
      <c r="Q619" s="232"/>
      <c r="R619" s="232"/>
      <c r="S619" s="232"/>
      <c r="T619" s="232"/>
    </row>
    <row r="620" spans="1:20">
      <c r="A620" s="174">
        <v>325</v>
      </c>
      <c r="B620" s="326">
        <v>100</v>
      </c>
      <c r="C620" s="326">
        <v>200</v>
      </c>
      <c r="D620" s="326">
        <v>100</v>
      </c>
      <c r="E620" s="326">
        <v>0</v>
      </c>
      <c r="F620" s="326">
        <v>0</v>
      </c>
      <c r="G620" s="347" t="s">
        <v>2866</v>
      </c>
      <c r="H620" s="330" t="s">
        <v>1107</v>
      </c>
      <c r="I620" s="326"/>
      <c r="J620" s="326"/>
      <c r="K620" s="334">
        <f t="shared" si="9"/>
        <v>3972.32</v>
      </c>
      <c r="L620" s="334">
        <v>3972.32</v>
      </c>
      <c r="M620" s="334"/>
      <c r="N620" s="334">
        <v>20579.68</v>
      </c>
      <c r="O620" s="232"/>
      <c r="P620" s="232"/>
      <c r="Q620" s="232"/>
      <c r="R620" s="232"/>
      <c r="S620" s="232"/>
      <c r="T620" s="232"/>
    </row>
    <row r="621" spans="1:20">
      <c r="A621" s="174">
        <v>325</v>
      </c>
      <c r="B621" s="326">
        <v>100</v>
      </c>
      <c r="C621" s="326">
        <v>200</v>
      </c>
      <c r="D621" s="326">
        <v>200</v>
      </c>
      <c r="E621" s="326">
        <v>0</v>
      </c>
      <c r="F621" s="326">
        <v>0</v>
      </c>
      <c r="G621" s="347" t="s">
        <v>2867</v>
      </c>
      <c r="H621" s="330" t="s">
        <v>1108</v>
      </c>
      <c r="I621" s="326"/>
      <c r="J621" s="326"/>
      <c r="K621" s="334">
        <f t="shared" si="9"/>
        <v>481.25</v>
      </c>
      <c r="L621" s="334">
        <v>481.25</v>
      </c>
      <c r="M621" s="334"/>
      <c r="N621" s="334">
        <v>2241.11</v>
      </c>
      <c r="O621" s="232"/>
      <c r="P621" s="232"/>
      <c r="Q621" s="232"/>
      <c r="R621" s="232"/>
      <c r="S621" s="232"/>
      <c r="T621" s="232"/>
    </row>
    <row r="622" spans="1:20">
      <c r="A622" s="174">
        <v>325</v>
      </c>
      <c r="B622" s="326">
        <v>100</v>
      </c>
      <c r="C622" s="326">
        <v>200</v>
      </c>
      <c r="D622" s="326">
        <v>300</v>
      </c>
      <c r="E622" s="326">
        <v>0</v>
      </c>
      <c r="F622" s="326">
        <v>0</v>
      </c>
      <c r="G622" s="347" t="s">
        <v>2868</v>
      </c>
      <c r="H622" s="330" t="s">
        <v>1131</v>
      </c>
      <c r="I622" s="326"/>
      <c r="J622" s="326"/>
      <c r="K622" s="334">
        <f t="shared" si="9"/>
        <v>0</v>
      </c>
      <c r="L622" s="334">
        <v>0</v>
      </c>
      <c r="M622" s="334"/>
      <c r="N622" s="334">
        <v>2580.6799999999998</v>
      </c>
      <c r="O622" s="232"/>
      <c r="P622" s="232"/>
      <c r="Q622" s="232"/>
      <c r="R622" s="232"/>
      <c r="S622" s="232"/>
      <c r="T622" s="232"/>
    </row>
    <row r="623" spans="1:20">
      <c r="A623" s="174">
        <v>325</v>
      </c>
      <c r="B623" s="326">
        <v>100</v>
      </c>
      <c r="C623" s="326">
        <v>200</v>
      </c>
      <c r="D623" s="326">
        <v>400</v>
      </c>
      <c r="E623" s="326">
        <v>0</v>
      </c>
      <c r="F623" s="326">
        <v>0</v>
      </c>
      <c r="G623" s="347" t="s">
        <v>2869</v>
      </c>
      <c r="H623" s="330" t="s">
        <v>1132</v>
      </c>
      <c r="I623" s="326"/>
      <c r="J623" s="326"/>
      <c r="K623" s="334">
        <f t="shared" si="9"/>
        <v>0</v>
      </c>
      <c r="L623" s="334">
        <v>0</v>
      </c>
      <c r="M623" s="334"/>
      <c r="N623" s="334">
        <v>136.55000000000001</v>
      </c>
      <c r="O623" s="232"/>
      <c r="P623" s="232"/>
      <c r="Q623" s="232"/>
      <c r="R623" s="232"/>
      <c r="S623" s="232"/>
      <c r="T623" s="232"/>
    </row>
    <row r="624" spans="1:20">
      <c r="A624" s="174">
        <v>325</v>
      </c>
      <c r="B624" s="326">
        <v>100</v>
      </c>
      <c r="C624" s="326">
        <v>200</v>
      </c>
      <c r="D624" s="326">
        <v>500</v>
      </c>
      <c r="E624" s="326">
        <v>0</v>
      </c>
      <c r="F624" s="326">
        <v>0</v>
      </c>
      <c r="G624" s="348" t="s">
        <v>2870</v>
      </c>
      <c r="H624" s="331" t="s">
        <v>1115</v>
      </c>
      <c r="I624" s="326"/>
      <c r="J624" s="325"/>
      <c r="K624" s="335">
        <f t="shared" si="9"/>
        <v>0</v>
      </c>
      <c r="L624" s="335">
        <v>0</v>
      </c>
      <c r="M624" s="335"/>
      <c r="N624" s="335">
        <v>0</v>
      </c>
      <c r="O624" s="232"/>
      <c r="P624" s="232"/>
      <c r="Q624" s="232"/>
      <c r="R624" s="232"/>
      <c r="S624" s="232"/>
      <c r="T624" s="232"/>
    </row>
    <row r="625" spans="1:20">
      <c r="A625" s="174">
        <v>325</v>
      </c>
      <c r="B625" s="326">
        <v>100</v>
      </c>
      <c r="C625" s="326">
        <v>200</v>
      </c>
      <c r="D625" s="326">
        <v>500</v>
      </c>
      <c r="E625" s="326">
        <v>5</v>
      </c>
      <c r="F625" s="326">
        <v>0</v>
      </c>
      <c r="G625" s="347" t="s">
        <v>2871</v>
      </c>
      <c r="H625" s="330" t="s">
        <v>1116</v>
      </c>
      <c r="I625" s="326"/>
      <c r="J625" s="326"/>
      <c r="K625" s="334">
        <f t="shared" si="9"/>
        <v>0</v>
      </c>
      <c r="L625" s="334">
        <v>0</v>
      </c>
      <c r="M625" s="334"/>
      <c r="N625" s="334">
        <v>0</v>
      </c>
      <c r="O625" s="232"/>
      <c r="P625" s="232"/>
      <c r="Q625" s="232"/>
      <c r="R625" s="232"/>
      <c r="S625" s="232"/>
      <c r="T625" s="232"/>
    </row>
    <row r="626" spans="1:20">
      <c r="A626" s="174">
        <v>325</v>
      </c>
      <c r="B626" s="326">
        <v>100</v>
      </c>
      <c r="C626" s="326">
        <v>200</v>
      </c>
      <c r="D626" s="326">
        <v>500</v>
      </c>
      <c r="E626" s="326">
        <v>10</v>
      </c>
      <c r="F626" s="326">
        <v>0</v>
      </c>
      <c r="G626" s="347" t="s">
        <v>2872</v>
      </c>
      <c r="H626" s="330" t="s">
        <v>1117</v>
      </c>
      <c r="I626" s="326"/>
      <c r="J626" s="326"/>
      <c r="K626" s="334">
        <f t="shared" si="9"/>
        <v>0</v>
      </c>
      <c r="L626" s="334">
        <v>0</v>
      </c>
      <c r="M626" s="334"/>
      <c r="N626" s="334">
        <v>0</v>
      </c>
      <c r="O626" s="232"/>
      <c r="P626" s="232"/>
      <c r="Q626" s="232"/>
      <c r="R626" s="232"/>
      <c r="S626" s="232"/>
      <c r="T626" s="232"/>
    </row>
    <row r="627" spans="1:20" ht="25.5">
      <c r="A627" s="174">
        <v>325</v>
      </c>
      <c r="B627" s="326">
        <v>100</v>
      </c>
      <c r="C627" s="326">
        <v>200</v>
      </c>
      <c r="D627" s="326">
        <v>500</v>
      </c>
      <c r="E627" s="326">
        <v>15</v>
      </c>
      <c r="F627" s="326">
        <v>0</v>
      </c>
      <c r="G627" s="347" t="s">
        <v>2873</v>
      </c>
      <c r="H627" s="330" t="s">
        <v>1157</v>
      </c>
      <c r="I627" s="326"/>
      <c r="J627" s="326"/>
      <c r="K627" s="334">
        <f t="shared" si="9"/>
        <v>46.44</v>
      </c>
      <c r="L627" s="334">
        <v>46.44</v>
      </c>
      <c r="M627" s="334"/>
      <c r="N627" s="334">
        <v>567.35</v>
      </c>
      <c r="O627" s="232"/>
      <c r="P627" s="232"/>
      <c r="Q627" s="232"/>
      <c r="R627" s="232"/>
      <c r="S627" s="232"/>
      <c r="T627" s="232"/>
    </row>
    <row r="628" spans="1:20">
      <c r="A628" s="174">
        <v>325</v>
      </c>
      <c r="B628" s="326">
        <v>100</v>
      </c>
      <c r="C628" s="326">
        <v>200</v>
      </c>
      <c r="D628" s="326">
        <v>900</v>
      </c>
      <c r="E628" s="326">
        <v>0</v>
      </c>
      <c r="F628" s="326">
        <v>0</v>
      </c>
      <c r="G628" s="347" t="s">
        <v>2874</v>
      </c>
      <c r="H628" s="330" t="s">
        <v>1135</v>
      </c>
      <c r="I628" s="326"/>
      <c r="J628" s="326"/>
      <c r="K628" s="334">
        <f t="shared" si="9"/>
        <v>1399.39</v>
      </c>
      <c r="L628" s="334">
        <v>1399.39</v>
      </c>
      <c r="M628" s="334"/>
      <c r="N628" s="334">
        <v>7749.91</v>
      </c>
      <c r="O628" s="232"/>
      <c r="P628" s="232"/>
      <c r="Q628" s="232"/>
      <c r="R628" s="232"/>
      <c r="S628" s="232"/>
      <c r="T628" s="232"/>
    </row>
    <row r="629" spans="1:20" ht="25.5">
      <c r="A629" s="174">
        <v>325</v>
      </c>
      <c r="B629" s="326">
        <v>100</v>
      </c>
      <c r="C629" s="326">
        <v>300</v>
      </c>
      <c r="D629" s="326">
        <v>0</v>
      </c>
      <c r="E629" s="326">
        <v>0</v>
      </c>
      <c r="F629" s="326">
        <v>0</v>
      </c>
      <c r="G629" s="331" t="s">
        <v>2875</v>
      </c>
      <c r="H629" s="330" t="s">
        <v>1160</v>
      </c>
      <c r="I629" s="326" t="s">
        <v>1161</v>
      </c>
      <c r="J629" s="326"/>
      <c r="K629" s="334">
        <f t="shared" si="9"/>
        <v>0</v>
      </c>
      <c r="L629" s="334">
        <v>0</v>
      </c>
      <c r="M629" s="334"/>
      <c r="N629" s="334"/>
      <c r="O629" s="232"/>
      <c r="P629" s="232"/>
      <c r="Q629" s="232"/>
      <c r="R629" s="232"/>
      <c r="S629" s="232"/>
      <c r="T629" s="232"/>
    </row>
    <row r="630" spans="1:20">
      <c r="A630" s="174">
        <v>325</v>
      </c>
      <c r="B630" s="326">
        <v>200</v>
      </c>
      <c r="C630" s="326">
        <v>0</v>
      </c>
      <c r="D630" s="326">
        <v>0</v>
      </c>
      <c r="E630" s="326">
        <v>0</v>
      </c>
      <c r="F630" s="326">
        <v>0</v>
      </c>
      <c r="G630" s="331" t="s">
        <v>2876</v>
      </c>
      <c r="H630" s="331" t="s">
        <v>1162</v>
      </c>
      <c r="I630" s="326" t="s">
        <v>1163</v>
      </c>
      <c r="J630" s="325"/>
      <c r="K630" s="335">
        <f t="shared" si="9"/>
        <v>0</v>
      </c>
      <c r="L630" s="335">
        <v>0</v>
      </c>
      <c r="M630" s="335"/>
      <c r="N630" s="335"/>
      <c r="O630" s="232"/>
      <c r="P630" s="232"/>
      <c r="Q630" s="232"/>
      <c r="R630" s="232"/>
      <c r="S630" s="232"/>
      <c r="T630" s="232"/>
    </row>
    <row r="631" spans="1:20" ht="25.5">
      <c r="A631" s="174">
        <v>325</v>
      </c>
      <c r="B631" s="326">
        <v>200</v>
      </c>
      <c r="C631" s="326">
        <v>100</v>
      </c>
      <c r="D631" s="326">
        <v>0</v>
      </c>
      <c r="E631" s="326">
        <v>0</v>
      </c>
      <c r="F631" s="326">
        <v>0</v>
      </c>
      <c r="G631" s="331" t="s">
        <v>2877</v>
      </c>
      <c r="H631" s="331" t="s">
        <v>1164</v>
      </c>
      <c r="I631" s="326" t="s">
        <v>1165</v>
      </c>
      <c r="J631" s="325"/>
      <c r="K631" s="335">
        <f t="shared" si="9"/>
        <v>0</v>
      </c>
      <c r="L631" s="335">
        <v>0</v>
      </c>
      <c r="M631" s="335"/>
      <c r="N631" s="335"/>
      <c r="O631" s="232"/>
      <c r="P631" s="232"/>
      <c r="Q631" s="232"/>
      <c r="R631" s="232"/>
      <c r="S631" s="232"/>
      <c r="T631" s="232"/>
    </row>
    <row r="632" spans="1:20">
      <c r="A632" s="174">
        <v>325</v>
      </c>
      <c r="B632" s="326">
        <v>200</v>
      </c>
      <c r="C632" s="326">
        <v>100</v>
      </c>
      <c r="D632" s="326">
        <v>100</v>
      </c>
      <c r="E632" s="326">
        <v>0</v>
      </c>
      <c r="F632" s="326">
        <v>0</v>
      </c>
      <c r="G632" s="347" t="s">
        <v>2878</v>
      </c>
      <c r="H632" s="330" t="s">
        <v>1107</v>
      </c>
      <c r="I632" s="326"/>
      <c r="J632" s="326"/>
      <c r="K632" s="334">
        <f t="shared" si="9"/>
        <v>0</v>
      </c>
      <c r="L632" s="334">
        <v>0</v>
      </c>
      <c r="M632" s="334"/>
      <c r="N632" s="334"/>
      <c r="O632" s="232"/>
      <c r="P632" s="232"/>
      <c r="Q632" s="232"/>
      <c r="R632" s="232"/>
      <c r="S632" s="232"/>
      <c r="T632" s="232"/>
    </row>
    <row r="633" spans="1:20">
      <c r="A633" s="174">
        <v>325</v>
      </c>
      <c r="B633" s="326">
        <v>200</v>
      </c>
      <c r="C633" s="326">
        <v>100</v>
      </c>
      <c r="D633" s="326">
        <v>200</v>
      </c>
      <c r="E633" s="326">
        <v>0</v>
      </c>
      <c r="F633" s="326">
        <v>0</v>
      </c>
      <c r="G633" s="347" t="s">
        <v>2879</v>
      </c>
      <c r="H633" s="330" t="s">
        <v>1143</v>
      </c>
      <c r="I633" s="326"/>
      <c r="J633" s="326"/>
      <c r="K633" s="334">
        <f t="shared" si="9"/>
        <v>0</v>
      </c>
      <c r="L633" s="334">
        <v>0</v>
      </c>
      <c r="M633" s="334"/>
      <c r="N633" s="334"/>
      <c r="O633" s="232"/>
      <c r="P633" s="232"/>
      <c r="Q633" s="232"/>
      <c r="R633" s="232"/>
      <c r="S633" s="232"/>
      <c r="T633" s="232"/>
    </row>
    <row r="634" spans="1:20">
      <c r="A634" s="174">
        <v>325</v>
      </c>
      <c r="B634" s="326">
        <v>200</v>
      </c>
      <c r="C634" s="326">
        <v>100</v>
      </c>
      <c r="D634" s="326">
        <v>300</v>
      </c>
      <c r="E634" s="326">
        <v>0</v>
      </c>
      <c r="F634" s="326">
        <v>0</v>
      </c>
      <c r="G634" s="347" t="s">
        <v>2880</v>
      </c>
      <c r="H634" s="330" t="s">
        <v>1144</v>
      </c>
      <c r="I634" s="326"/>
      <c r="J634" s="326"/>
      <c r="K634" s="334">
        <f t="shared" si="9"/>
        <v>0</v>
      </c>
      <c r="L634" s="334">
        <v>0</v>
      </c>
      <c r="M634" s="334"/>
      <c r="N634" s="334"/>
      <c r="O634" s="232"/>
      <c r="P634" s="232"/>
      <c r="Q634" s="232"/>
      <c r="R634" s="232"/>
      <c r="S634" s="232"/>
      <c r="T634" s="232"/>
    </row>
    <row r="635" spans="1:20">
      <c r="A635" s="174">
        <v>325</v>
      </c>
      <c r="B635" s="326">
        <v>200</v>
      </c>
      <c r="C635" s="326">
        <v>100</v>
      </c>
      <c r="D635" s="326">
        <v>301</v>
      </c>
      <c r="E635" s="326">
        <v>0</v>
      </c>
      <c r="F635" s="326">
        <v>0</v>
      </c>
      <c r="G635" s="347" t="s">
        <v>2299</v>
      </c>
      <c r="H635" s="330" t="s">
        <v>2264</v>
      </c>
      <c r="I635" s="326"/>
      <c r="J635" s="326"/>
      <c r="K635" s="334">
        <f t="shared" si="9"/>
        <v>0</v>
      </c>
      <c r="L635" s="334">
        <v>0</v>
      </c>
      <c r="M635" s="334"/>
      <c r="N635" s="334"/>
      <c r="O635" s="232"/>
      <c r="P635" s="232"/>
      <c r="Q635" s="232"/>
      <c r="R635" s="232"/>
      <c r="S635" s="232"/>
      <c r="T635" s="232"/>
    </row>
    <row r="636" spans="1:20">
      <c r="A636" s="174">
        <v>325</v>
      </c>
      <c r="B636" s="326">
        <v>200</v>
      </c>
      <c r="C636" s="326">
        <v>100</v>
      </c>
      <c r="D636" s="326">
        <v>302</v>
      </c>
      <c r="E636" s="326">
        <v>0</v>
      </c>
      <c r="F636" s="326">
        <v>0</v>
      </c>
      <c r="G636" s="347" t="s">
        <v>2300</v>
      </c>
      <c r="H636" s="330" t="s">
        <v>2266</v>
      </c>
      <c r="I636" s="326"/>
      <c r="J636" s="326"/>
      <c r="K636" s="334">
        <f t="shared" si="9"/>
        <v>0</v>
      </c>
      <c r="L636" s="334">
        <v>0</v>
      </c>
      <c r="M636" s="334"/>
      <c r="N636" s="334"/>
      <c r="O636" s="232"/>
      <c r="P636" s="232"/>
      <c r="Q636" s="232"/>
      <c r="R636" s="232"/>
      <c r="S636" s="232"/>
      <c r="T636" s="232"/>
    </row>
    <row r="637" spans="1:20">
      <c r="A637" s="174">
        <v>325</v>
      </c>
      <c r="B637" s="326">
        <v>200</v>
      </c>
      <c r="C637" s="326">
        <v>100</v>
      </c>
      <c r="D637" s="326">
        <v>400</v>
      </c>
      <c r="E637" s="326">
        <v>0</v>
      </c>
      <c r="F637" s="326">
        <v>0</v>
      </c>
      <c r="G637" s="347" t="s">
        <v>2881</v>
      </c>
      <c r="H637" s="330" t="s">
        <v>1145</v>
      </c>
      <c r="I637" s="326"/>
      <c r="J637" s="326"/>
      <c r="K637" s="334">
        <f t="shared" si="9"/>
        <v>0</v>
      </c>
      <c r="L637" s="334">
        <v>0</v>
      </c>
      <c r="M637" s="334"/>
      <c r="N637" s="334"/>
      <c r="O637" s="232"/>
      <c r="P637" s="232"/>
      <c r="Q637" s="232"/>
      <c r="R637" s="232"/>
      <c r="S637" s="232"/>
      <c r="T637" s="232"/>
    </row>
    <row r="638" spans="1:20">
      <c r="A638" s="174">
        <v>325</v>
      </c>
      <c r="B638" s="326">
        <v>200</v>
      </c>
      <c r="C638" s="326">
        <v>100</v>
      </c>
      <c r="D638" s="326">
        <v>500</v>
      </c>
      <c r="E638" s="326">
        <v>0</v>
      </c>
      <c r="F638" s="326">
        <v>0</v>
      </c>
      <c r="G638" s="347" t="s">
        <v>2882</v>
      </c>
      <c r="H638" s="330" t="s">
        <v>1132</v>
      </c>
      <c r="I638" s="326"/>
      <c r="J638" s="326"/>
      <c r="K638" s="334">
        <f t="shared" si="9"/>
        <v>0</v>
      </c>
      <c r="L638" s="334">
        <v>0</v>
      </c>
      <c r="M638" s="334"/>
      <c r="N638" s="334"/>
      <c r="O638" s="232"/>
      <c r="P638" s="232"/>
      <c r="Q638" s="232"/>
      <c r="R638" s="232"/>
      <c r="S638" s="232"/>
      <c r="T638" s="232"/>
    </row>
    <row r="639" spans="1:20">
      <c r="A639" s="174">
        <v>325</v>
      </c>
      <c r="B639" s="326">
        <v>200</v>
      </c>
      <c r="C639" s="326">
        <v>100</v>
      </c>
      <c r="D639" s="326">
        <v>600</v>
      </c>
      <c r="E639" s="326">
        <v>0</v>
      </c>
      <c r="F639" s="326">
        <v>0</v>
      </c>
      <c r="G639" s="348" t="s">
        <v>2883</v>
      </c>
      <c r="H639" s="331" t="s">
        <v>1115</v>
      </c>
      <c r="I639" s="326"/>
      <c r="J639" s="325"/>
      <c r="K639" s="335">
        <f t="shared" si="9"/>
        <v>0</v>
      </c>
      <c r="L639" s="335">
        <v>0</v>
      </c>
      <c r="M639" s="335"/>
      <c r="N639" s="335"/>
      <c r="O639" s="232"/>
      <c r="P639" s="232"/>
      <c r="Q639" s="232"/>
      <c r="R639" s="232"/>
      <c r="S639" s="232"/>
      <c r="T639" s="232"/>
    </row>
    <row r="640" spans="1:20">
      <c r="A640" s="174">
        <v>325</v>
      </c>
      <c r="B640" s="326">
        <v>200</v>
      </c>
      <c r="C640" s="326">
        <v>100</v>
      </c>
      <c r="D640" s="326">
        <v>600</v>
      </c>
      <c r="E640" s="326">
        <v>5</v>
      </c>
      <c r="F640" s="326">
        <v>0</v>
      </c>
      <c r="G640" s="347" t="s">
        <v>2884</v>
      </c>
      <c r="H640" s="330" t="s">
        <v>1116</v>
      </c>
      <c r="I640" s="326"/>
      <c r="J640" s="326"/>
      <c r="K640" s="334">
        <f t="shared" si="9"/>
        <v>0</v>
      </c>
      <c r="L640" s="334">
        <v>0</v>
      </c>
      <c r="M640" s="334"/>
      <c r="N640" s="334"/>
      <c r="O640" s="232"/>
      <c r="P640" s="232"/>
      <c r="Q640" s="232"/>
      <c r="R640" s="232"/>
      <c r="S640" s="232"/>
      <c r="T640" s="232"/>
    </row>
    <row r="641" spans="1:20">
      <c r="A641" s="174">
        <v>325</v>
      </c>
      <c r="B641" s="326">
        <v>200</v>
      </c>
      <c r="C641" s="326">
        <v>100</v>
      </c>
      <c r="D641" s="326">
        <v>600</v>
      </c>
      <c r="E641" s="326">
        <v>10</v>
      </c>
      <c r="F641" s="326">
        <v>0</v>
      </c>
      <c r="G641" s="347" t="s">
        <v>2885</v>
      </c>
      <c r="H641" s="330" t="s">
        <v>1117</v>
      </c>
      <c r="I641" s="326"/>
      <c r="J641" s="326"/>
      <c r="K641" s="334">
        <f t="shared" si="9"/>
        <v>0</v>
      </c>
      <c r="L641" s="334">
        <v>0</v>
      </c>
      <c r="M641" s="334"/>
      <c r="N641" s="334"/>
      <c r="O641" s="232"/>
      <c r="P641" s="232"/>
      <c r="Q641" s="232"/>
      <c r="R641" s="232"/>
      <c r="S641" s="232"/>
      <c r="T641" s="232"/>
    </row>
    <row r="642" spans="1:20">
      <c r="A642" s="174">
        <v>325</v>
      </c>
      <c r="B642" s="326">
        <v>200</v>
      </c>
      <c r="C642" s="326">
        <v>100</v>
      </c>
      <c r="D642" s="326">
        <v>600</v>
      </c>
      <c r="E642" s="326">
        <v>15</v>
      </c>
      <c r="F642" s="326">
        <v>0</v>
      </c>
      <c r="G642" s="347" t="s">
        <v>2886</v>
      </c>
      <c r="H642" s="330" t="s">
        <v>1146</v>
      </c>
      <c r="I642" s="326"/>
      <c r="J642" s="326"/>
      <c r="K642" s="334">
        <f t="shared" si="9"/>
        <v>0</v>
      </c>
      <c r="L642" s="334">
        <v>0</v>
      </c>
      <c r="M642" s="334"/>
      <c r="N642" s="334"/>
      <c r="O642" s="232"/>
      <c r="P642" s="232"/>
      <c r="Q642" s="232"/>
      <c r="R642" s="232"/>
      <c r="S642" s="232"/>
      <c r="T642" s="232"/>
    </row>
    <row r="643" spans="1:20">
      <c r="A643" s="174">
        <v>325</v>
      </c>
      <c r="B643" s="326">
        <v>200</v>
      </c>
      <c r="C643" s="326">
        <v>100</v>
      </c>
      <c r="D643" s="326">
        <v>900</v>
      </c>
      <c r="E643" s="326">
        <v>0</v>
      </c>
      <c r="F643" s="326">
        <v>0</v>
      </c>
      <c r="G643" s="347" t="s">
        <v>2887</v>
      </c>
      <c r="H643" s="330" t="s">
        <v>1135</v>
      </c>
      <c r="I643" s="326"/>
      <c r="J643" s="326"/>
      <c r="K643" s="334">
        <f t="shared" si="9"/>
        <v>0</v>
      </c>
      <c r="L643" s="334">
        <v>0</v>
      </c>
      <c r="M643" s="334"/>
      <c r="N643" s="334"/>
      <c r="O643" s="232"/>
      <c r="P643" s="232"/>
      <c r="Q643" s="232"/>
      <c r="R643" s="232"/>
      <c r="S643" s="232"/>
      <c r="T643" s="232"/>
    </row>
    <row r="644" spans="1:20" ht="25.5">
      <c r="A644" s="174">
        <v>325</v>
      </c>
      <c r="B644" s="326">
        <v>200</v>
      </c>
      <c r="C644" s="326">
        <v>200</v>
      </c>
      <c r="D644" s="326">
        <v>0</v>
      </c>
      <c r="E644" s="326">
        <v>0</v>
      </c>
      <c r="F644" s="326">
        <v>0</v>
      </c>
      <c r="G644" s="331" t="s">
        <v>2888</v>
      </c>
      <c r="H644" s="331" t="s">
        <v>1166</v>
      </c>
      <c r="I644" s="326" t="s">
        <v>1167</v>
      </c>
      <c r="J644" s="325"/>
      <c r="K644" s="335">
        <f t="shared" si="9"/>
        <v>0</v>
      </c>
      <c r="L644" s="335">
        <v>0</v>
      </c>
      <c r="M644" s="335"/>
      <c r="N644" s="335"/>
      <c r="O644" s="232"/>
      <c r="P644" s="232"/>
      <c r="Q644" s="232"/>
      <c r="R644" s="232"/>
      <c r="S644" s="232"/>
      <c r="T644" s="232"/>
    </row>
    <row r="645" spans="1:20">
      <c r="A645" s="174">
        <v>325</v>
      </c>
      <c r="B645" s="326">
        <v>200</v>
      </c>
      <c r="C645" s="326">
        <v>200</v>
      </c>
      <c r="D645" s="326">
        <v>100</v>
      </c>
      <c r="E645" s="326">
        <v>0</v>
      </c>
      <c r="F645" s="326">
        <v>0</v>
      </c>
      <c r="G645" s="347" t="s">
        <v>2889</v>
      </c>
      <c r="H645" s="330" t="s">
        <v>1107</v>
      </c>
      <c r="I645" s="326"/>
      <c r="J645" s="326"/>
      <c r="K645" s="334">
        <f t="shared" si="9"/>
        <v>0</v>
      </c>
      <c r="L645" s="334">
        <v>0</v>
      </c>
      <c r="M645" s="334"/>
      <c r="N645" s="334"/>
      <c r="O645" s="232"/>
      <c r="P645" s="232"/>
      <c r="Q645" s="232"/>
      <c r="R645" s="232"/>
      <c r="S645" s="232"/>
      <c r="T645" s="232"/>
    </row>
    <row r="646" spans="1:20">
      <c r="A646" s="174">
        <v>325</v>
      </c>
      <c r="B646" s="326">
        <v>200</v>
      </c>
      <c r="C646" s="326">
        <v>200</v>
      </c>
      <c r="D646" s="326">
        <v>200</v>
      </c>
      <c r="E646" s="326">
        <v>0</v>
      </c>
      <c r="F646" s="326">
        <v>0</v>
      </c>
      <c r="G646" s="347" t="s">
        <v>2890</v>
      </c>
      <c r="H646" s="330" t="s">
        <v>1143</v>
      </c>
      <c r="I646" s="326"/>
      <c r="J646" s="326"/>
      <c r="K646" s="334">
        <f t="shared" si="9"/>
        <v>0</v>
      </c>
      <c r="L646" s="334">
        <v>0</v>
      </c>
      <c r="M646" s="334"/>
      <c r="N646" s="334"/>
      <c r="O646" s="232"/>
      <c r="P646" s="232"/>
      <c r="Q646" s="232"/>
      <c r="R646" s="232"/>
      <c r="S646" s="232"/>
      <c r="T646" s="232"/>
    </row>
    <row r="647" spans="1:20">
      <c r="A647" s="174">
        <v>325</v>
      </c>
      <c r="B647" s="326">
        <v>200</v>
      </c>
      <c r="C647" s="326">
        <v>200</v>
      </c>
      <c r="D647" s="326">
        <v>300</v>
      </c>
      <c r="E647" s="326">
        <v>0</v>
      </c>
      <c r="F647" s="326">
        <v>0</v>
      </c>
      <c r="G647" s="347" t="s">
        <v>2891</v>
      </c>
      <c r="H647" s="330" t="s">
        <v>1144</v>
      </c>
      <c r="I647" s="326"/>
      <c r="J647" s="326"/>
      <c r="K647" s="334">
        <f t="shared" si="9"/>
        <v>0</v>
      </c>
      <c r="L647" s="334">
        <v>0</v>
      </c>
      <c r="M647" s="334"/>
      <c r="N647" s="334"/>
      <c r="O647" s="232"/>
      <c r="P647" s="232"/>
      <c r="Q647" s="232"/>
      <c r="R647" s="232"/>
      <c r="S647" s="232"/>
      <c r="T647" s="232"/>
    </row>
    <row r="648" spans="1:20">
      <c r="A648" s="174">
        <v>325</v>
      </c>
      <c r="B648" s="326">
        <v>200</v>
      </c>
      <c r="C648" s="326">
        <v>200</v>
      </c>
      <c r="D648" s="326">
        <v>301</v>
      </c>
      <c r="E648" s="326">
        <v>0</v>
      </c>
      <c r="F648" s="326">
        <v>0</v>
      </c>
      <c r="G648" s="347" t="s">
        <v>2301</v>
      </c>
      <c r="H648" s="330" t="s">
        <v>2264</v>
      </c>
      <c r="I648" s="326"/>
      <c r="J648" s="326"/>
      <c r="K648" s="334">
        <f t="shared" si="9"/>
        <v>0</v>
      </c>
      <c r="L648" s="334">
        <v>0</v>
      </c>
      <c r="M648" s="334"/>
      <c r="N648" s="334"/>
      <c r="O648" s="232"/>
      <c r="P648" s="232"/>
      <c r="Q648" s="232"/>
      <c r="R648" s="232"/>
      <c r="S648" s="232"/>
      <c r="T648" s="232"/>
    </row>
    <row r="649" spans="1:20">
      <c r="A649" s="174">
        <v>325</v>
      </c>
      <c r="B649" s="326">
        <v>200</v>
      </c>
      <c r="C649" s="326">
        <v>200</v>
      </c>
      <c r="D649" s="326">
        <v>302</v>
      </c>
      <c r="E649" s="326">
        <v>0</v>
      </c>
      <c r="F649" s="326">
        <v>0</v>
      </c>
      <c r="G649" s="347" t="s">
        <v>2302</v>
      </c>
      <c r="H649" s="330" t="s">
        <v>2266</v>
      </c>
      <c r="I649" s="326"/>
      <c r="J649" s="326"/>
      <c r="K649" s="334">
        <f t="shared" si="9"/>
        <v>0</v>
      </c>
      <c r="L649" s="334">
        <v>0</v>
      </c>
      <c r="M649" s="334"/>
      <c r="N649" s="334"/>
      <c r="O649" s="232"/>
      <c r="P649" s="232"/>
      <c r="Q649" s="232"/>
      <c r="R649" s="232"/>
      <c r="S649" s="232"/>
      <c r="T649" s="232"/>
    </row>
    <row r="650" spans="1:20">
      <c r="A650" s="174">
        <v>325</v>
      </c>
      <c r="B650" s="326">
        <v>200</v>
      </c>
      <c r="C650" s="326">
        <v>200</v>
      </c>
      <c r="D650" s="326">
        <v>400</v>
      </c>
      <c r="E650" s="326">
        <v>0</v>
      </c>
      <c r="F650" s="326">
        <v>0</v>
      </c>
      <c r="G650" s="347" t="s">
        <v>2892</v>
      </c>
      <c r="H650" s="330" t="s">
        <v>1145</v>
      </c>
      <c r="I650" s="326"/>
      <c r="J650" s="326"/>
      <c r="K650" s="334">
        <f t="shared" si="9"/>
        <v>0</v>
      </c>
      <c r="L650" s="334">
        <v>0</v>
      </c>
      <c r="M650" s="334"/>
      <c r="N650" s="334"/>
      <c r="O650" s="232"/>
      <c r="P650" s="232"/>
      <c r="Q650" s="232"/>
      <c r="R650" s="232"/>
      <c r="S650" s="232"/>
      <c r="T650" s="232"/>
    </row>
    <row r="651" spans="1:20">
      <c r="A651" s="174">
        <v>325</v>
      </c>
      <c r="B651" s="326">
        <v>200</v>
      </c>
      <c r="C651" s="326">
        <v>200</v>
      </c>
      <c r="D651" s="326">
        <v>500</v>
      </c>
      <c r="E651" s="326">
        <v>0</v>
      </c>
      <c r="F651" s="326">
        <v>0</v>
      </c>
      <c r="G651" s="347" t="s">
        <v>2893</v>
      </c>
      <c r="H651" s="330" t="s">
        <v>1132</v>
      </c>
      <c r="I651" s="326"/>
      <c r="J651" s="326"/>
      <c r="K651" s="334">
        <f t="shared" si="9"/>
        <v>0</v>
      </c>
      <c r="L651" s="334">
        <v>0</v>
      </c>
      <c r="M651" s="334"/>
      <c r="N651" s="334"/>
      <c r="O651" s="232"/>
      <c r="P651" s="232"/>
      <c r="Q651" s="232"/>
      <c r="R651" s="232"/>
      <c r="S651" s="232"/>
      <c r="T651" s="232"/>
    </row>
    <row r="652" spans="1:20">
      <c r="A652" s="174">
        <v>325</v>
      </c>
      <c r="B652" s="326">
        <v>200</v>
      </c>
      <c r="C652" s="326">
        <v>200</v>
      </c>
      <c r="D652" s="326">
        <v>600</v>
      </c>
      <c r="E652" s="326">
        <v>0</v>
      </c>
      <c r="F652" s="326">
        <v>0</v>
      </c>
      <c r="G652" s="348" t="s">
        <v>2894</v>
      </c>
      <c r="H652" s="331" t="s">
        <v>1115</v>
      </c>
      <c r="I652" s="326"/>
      <c r="J652" s="325"/>
      <c r="K652" s="335">
        <f t="shared" si="9"/>
        <v>0</v>
      </c>
      <c r="L652" s="335">
        <v>0</v>
      </c>
      <c r="M652" s="335"/>
      <c r="N652" s="335"/>
      <c r="O652" s="232"/>
      <c r="P652" s="232"/>
      <c r="Q652" s="232"/>
      <c r="R652" s="232"/>
      <c r="S652" s="232"/>
      <c r="T652" s="232"/>
    </row>
    <row r="653" spans="1:20">
      <c r="A653" s="174">
        <v>325</v>
      </c>
      <c r="B653" s="326">
        <v>200</v>
      </c>
      <c r="C653" s="326">
        <v>200</v>
      </c>
      <c r="D653" s="326">
        <v>600</v>
      </c>
      <c r="E653" s="326">
        <v>5</v>
      </c>
      <c r="F653" s="326">
        <v>0</v>
      </c>
      <c r="G653" s="347" t="s">
        <v>2895</v>
      </c>
      <c r="H653" s="330" t="s">
        <v>1116</v>
      </c>
      <c r="I653" s="326"/>
      <c r="J653" s="326"/>
      <c r="K653" s="334">
        <f t="shared" si="9"/>
        <v>0</v>
      </c>
      <c r="L653" s="334">
        <v>0</v>
      </c>
      <c r="M653" s="334"/>
      <c r="N653" s="334"/>
      <c r="O653" s="232"/>
      <c r="P653" s="232"/>
      <c r="Q653" s="232"/>
      <c r="R653" s="232"/>
      <c r="S653" s="232"/>
      <c r="T653" s="232"/>
    </row>
    <row r="654" spans="1:20">
      <c r="A654" s="174">
        <v>325</v>
      </c>
      <c r="B654" s="326">
        <v>200</v>
      </c>
      <c r="C654" s="326">
        <v>200</v>
      </c>
      <c r="D654" s="326">
        <v>600</v>
      </c>
      <c r="E654" s="326">
        <v>10</v>
      </c>
      <c r="F654" s="326">
        <v>0</v>
      </c>
      <c r="G654" s="347" t="s">
        <v>2896</v>
      </c>
      <c r="H654" s="330" t="s">
        <v>1117</v>
      </c>
      <c r="I654" s="326"/>
      <c r="J654" s="326"/>
      <c r="K654" s="334">
        <f t="shared" si="9"/>
        <v>0</v>
      </c>
      <c r="L654" s="334">
        <v>0</v>
      </c>
      <c r="M654" s="334"/>
      <c r="N654" s="334"/>
      <c r="O654" s="232"/>
      <c r="P654" s="232"/>
      <c r="Q654" s="232"/>
      <c r="R654" s="232"/>
      <c r="S654" s="232"/>
      <c r="T654" s="232"/>
    </row>
    <row r="655" spans="1:20">
      <c r="A655" s="174">
        <v>325</v>
      </c>
      <c r="B655" s="326">
        <v>200</v>
      </c>
      <c r="C655" s="326">
        <v>200</v>
      </c>
      <c r="D655" s="326">
        <v>600</v>
      </c>
      <c r="E655" s="326">
        <v>15</v>
      </c>
      <c r="F655" s="326">
        <v>0</v>
      </c>
      <c r="G655" s="347" t="s">
        <v>2897</v>
      </c>
      <c r="H655" s="330" t="s">
        <v>1146</v>
      </c>
      <c r="I655" s="326"/>
      <c r="J655" s="326"/>
      <c r="K655" s="334">
        <f t="shared" si="9"/>
        <v>0</v>
      </c>
      <c r="L655" s="334">
        <v>0</v>
      </c>
      <c r="M655" s="334"/>
      <c r="N655" s="334"/>
      <c r="O655" s="232"/>
      <c r="P655" s="232"/>
      <c r="Q655" s="232"/>
      <c r="R655" s="232"/>
      <c r="S655" s="232"/>
      <c r="T655" s="232"/>
    </row>
    <row r="656" spans="1:20">
      <c r="A656" s="174">
        <v>325</v>
      </c>
      <c r="B656" s="326">
        <v>200</v>
      </c>
      <c r="C656" s="326">
        <v>200</v>
      </c>
      <c r="D656" s="326">
        <v>900</v>
      </c>
      <c r="E656" s="326">
        <v>0</v>
      </c>
      <c r="F656" s="326">
        <v>0</v>
      </c>
      <c r="G656" s="347" t="s">
        <v>2898</v>
      </c>
      <c r="H656" s="330" t="s">
        <v>1135</v>
      </c>
      <c r="I656" s="326"/>
      <c r="J656" s="326"/>
      <c r="K656" s="334">
        <f t="shared" si="9"/>
        <v>0</v>
      </c>
      <c r="L656" s="334">
        <v>0</v>
      </c>
      <c r="M656" s="334"/>
      <c r="N656" s="334"/>
      <c r="O656" s="232"/>
      <c r="P656" s="232"/>
      <c r="Q656" s="232"/>
      <c r="R656" s="232"/>
      <c r="S656" s="232"/>
      <c r="T656" s="232"/>
    </row>
    <row r="657" spans="1:20">
      <c r="A657" s="174">
        <v>325</v>
      </c>
      <c r="B657" s="326">
        <v>200</v>
      </c>
      <c r="C657" s="326">
        <v>300</v>
      </c>
      <c r="D657" s="326">
        <v>0</v>
      </c>
      <c r="E657" s="326">
        <v>0</v>
      </c>
      <c r="F657" s="326">
        <v>0</v>
      </c>
      <c r="G657" s="331" t="s">
        <v>2899</v>
      </c>
      <c r="H657" s="331" t="s">
        <v>1168</v>
      </c>
      <c r="I657" s="326" t="s">
        <v>1169</v>
      </c>
      <c r="J657" s="326"/>
      <c r="K657" s="334">
        <f t="shared" si="9"/>
        <v>0</v>
      </c>
      <c r="L657" s="334">
        <v>0</v>
      </c>
      <c r="M657" s="334"/>
      <c r="N657" s="334"/>
      <c r="O657" s="232"/>
      <c r="P657" s="232"/>
      <c r="Q657" s="232"/>
      <c r="R657" s="232"/>
      <c r="S657" s="232"/>
      <c r="T657" s="232"/>
    </row>
    <row r="658" spans="1:20">
      <c r="A658" s="404">
        <v>330</v>
      </c>
      <c r="B658" s="405">
        <v>0</v>
      </c>
      <c r="C658" s="405">
        <v>0</v>
      </c>
      <c r="D658" s="405">
        <v>0</v>
      </c>
      <c r="E658" s="405">
        <v>0</v>
      </c>
      <c r="F658" s="405">
        <v>0</v>
      </c>
      <c r="G658" s="339">
        <v>330</v>
      </c>
      <c r="H658" s="339" t="s">
        <v>1170</v>
      </c>
      <c r="I658" s="52" t="s">
        <v>1171</v>
      </c>
      <c r="J658" s="52"/>
      <c r="K658" s="335">
        <f t="shared" si="9"/>
        <v>0</v>
      </c>
      <c r="L658" s="335">
        <v>0</v>
      </c>
      <c r="M658" s="335"/>
      <c r="N658" s="335"/>
      <c r="O658" s="232"/>
      <c r="P658" s="232"/>
      <c r="Q658" s="232"/>
      <c r="R658" s="232"/>
      <c r="S658" s="232"/>
      <c r="T658" s="232"/>
    </row>
    <row r="659" spans="1:20">
      <c r="A659" s="174">
        <v>330</v>
      </c>
      <c r="B659" s="326">
        <v>100</v>
      </c>
      <c r="C659" s="326">
        <v>0</v>
      </c>
      <c r="D659" s="326">
        <v>0</v>
      </c>
      <c r="E659" s="326">
        <v>0</v>
      </c>
      <c r="F659" s="326">
        <v>0</v>
      </c>
      <c r="G659" s="331" t="s">
        <v>2900</v>
      </c>
      <c r="H659" s="331" t="s">
        <v>1172</v>
      </c>
      <c r="I659" s="326" t="s">
        <v>1173</v>
      </c>
      <c r="J659" s="325"/>
      <c r="K659" s="335">
        <f t="shared" si="9"/>
        <v>0</v>
      </c>
      <c r="L659" s="335">
        <v>0</v>
      </c>
      <c r="M659" s="335"/>
      <c r="N659" s="335"/>
      <c r="O659" s="232"/>
      <c r="P659" s="232"/>
      <c r="Q659" s="232"/>
      <c r="R659" s="232"/>
      <c r="S659" s="232"/>
      <c r="T659" s="232"/>
    </row>
    <row r="660" spans="1:20" ht="25.5">
      <c r="A660" s="174">
        <v>330</v>
      </c>
      <c r="B660" s="326">
        <v>100</v>
      </c>
      <c r="C660" s="326">
        <v>100</v>
      </c>
      <c r="D660" s="326">
        <v>0</v>
      </c>
      <c r="E660" s="326">
        <v>0</v>
      </c>
      <c r="F660" s="326">
        <v>0</v>
      </c>
      <c r="G660" s="331" t="s">
        <v>2901</v>
      </c>
      <c r="H660" s="331" t="s">
        <v>1174</v>
      </c>
      <c r="I660" s="326" t="s">
        <v>1175</v>
      </c>
      <c r="J660" s="325"/>
      <c r="K660" s="335">
        <f t="shared" si="9"/>
        <v>0</v>
      </c>
      <c r="L660" s="335">
        <v>0</v>
      </c>
      <c r="M660" s="335"/>
      <c r="N660" s="335"/>
      <c r="O660" s="232"/>
      <c r="P660" s="232"/>
      <c r="Q660" s="232"/>
      <c r="R660" s="232"/>
      <c r="S660" s="232"/>
      <c r="T660" s="232"/>
    </row>
    <row r="661" spans="1:20">
      <c r="A661" s="174">
        <v>330</v>
      </c>
      <c r="B661" s="326">
        <v>100</v>
      </c>
      <c r="C661" s="326">
        <v>100</v>
      </c>
      <c r="D661" s="326">
        <v>100</v>
      </c>
      <c r="E661" s="326">
        <v>0</v>
      </c>
      <c r="F661" s="326">
        <v>0</v>
      </c>
      <c r="G661" s="347" t="s">
        <v>2902</v>
      </c>
      <c r="H661" s="330" t="s">
        <v>1107</v>
      </c>
      <c r="I661" s="326"/>
      <c r="J661" s="326"/>
      <c r="K661" s="334">
        <f t="shared" si="9"/>
        <v>143003.73000000001</v>
      </c>
      <c r="L661" s="334">
        <v>143003.73000000001</v>
      </c>
      <c r="M661" s="334"/>
      <c r="N661" s="334">
        <v>136370.13</v>
      </c>
      <c r="O661" s="232"/>
      <c r="P661" s="232"/>
      <c r="Q661" s="232"/>
      <c r="R661" s="232"/>
      <c r="S661" s="232"/>
      <c r="T661" s="232"/>
    </row>
    <row r="662" spans="1:20">
      <c r="A662" s="174">
        <v>330</v>
      </c>
      <c r="B662" s="326">
        <v>100</v>
      </c>
      <c r="C662" s="326">
        <v>100</v>
      </c>
      <c r="D662" s="326">
        <v>200</v>
      </c>
      <c r="E662" s="326">
        <v>0</v>
      </c>
      <c r="F662" s="326">
        <v>0</v>
      </c>
      <c r="G662" s="347" t="s">
        <v>2903</v>
      </c>
      <c r="H662" s="330" t="s">
        <v>1108</v>
      </c>
      <c r="I662" s="326"/>
      <c r="J662" s="326"/>
      <c r="K662" s="334">
        <f t="shared" si="9"/>
        <v>44693.64</v>
      </c>
      <c r="L662" s="334">
        <v>44693.64</v>
      </c>
      <c r="M662" s="334"/>
      <c r="N662" s="334">
        <v>19586.84</v>
      </c>
      <c r="O662" s="232"/>
      <c r="P662" s="232"/>
      <c r="Q662" s="232"/>
      <c r="R662" s="232"/>
      <c r="S662" s="232"/>
      <c r="T662" s="232"/>
    </row>
    <row r="663" spans="1:20">
      <c r="A663" s="174">
        <v>330</v>
      </c>
      <c r="B663" s="326">
        <v>100</v>
      </c>
      <c r="C663" s="326">
        <v>100</v>
      </c>
      <c r="D663" s="326">
        <v>300</v>
      </c>
      <c r="E663" s="326">
        <v>0</v>
      </c>
      <c r="F663" s="326">
        <v>0</v>
      </c>
      <c r="G663" s="347" t="s">
        <v>2904</v>
      </c>
      <c r="H663" s="330" t="s">
        <v>1131</v>
      </c>
      <c r="I663" s="326"/>
      <c r="J663" s="326"/>
      <c r="K663" s="334">
        <f t="shared" si="9"/>
        <v>21408.880000000001</v>
      </c>
      <c r="L663" s="334">
        <v>21408.880000000001</v>
      </c>
      <c r="M663" s="334"/>
      <c r="N663" s="334">
        <v>12026.34</v>
      </c>
      <c r="O663" s="232"/>
      <c r="P663" s="232"/>
      <c r="Q663" s="232"/>
      <c r="R663" s="232"/>
      <c r="S663" s="232"/>
      <c r="T663" s="232"/>
    </row>
    <row r="664" spans="1:20">
      <c r="A664" s="174">
        <v>330</v>
      </c>
      <c r="B664" s="326">
        <v>100</v>
      </c>
      <c r="C664" s="326">
        <v>100</v>
      </c>
      <c r="D664" s="326">
        <v>400</v>
      </c>
      <c r="E664" s="326">
        <v>0</v>
      </c>
      <c r="F664" s="326">
        <v>0</v>
      </c>
      <c r="G664" s="347" t="s">
        <v>2905</v>
      </c>
      <c r="H664" s="330" t="s">
        <v>1132</v>
      </c>
      <c r="I664" s="326"/>
      <c r="J664" s="326"/>
      <c r="K664" s="334">
        <f t="shared" si="9"/>
        <v>649.16</v>
      </c>
      <c r="L664" s="334">
        <v>649.16</v>
      </c>
      <c r="M664" s="334"/>
      <c r="N664" s="334">
        <v>636.33000000000004</v>
      </c>
      <c r="O664" s="232"/>
      <c r="P664" s="232"/>
      <c r="Q664" s="232"/>
      <c r="R664" s="232"/>
      <c r="S664" s="232"/>
      <c r="T664" s="232"/>
    </row>
    <row r="665" spans="1:20">
      <c r="A665" s="174">
        <v>330</v>
      </c>
      <c r="B665" s="326">
        <v>100</v>
      </c>
      <c r="C665" s="326">
        <v>100</v>
      </c>
      <c r="D665" s="326">
        <v>500</v>
      </c>
      <c r="E665" s="326">
        <v>0</v>
      </c>
      <c r="F665" s="326">
        <v>0</v>
      </c>
      <c r="G665" s="348" t="s">
        <v>2906</v>
      </c>
      <c r="H665" s="331" t="s">
        <v>1115</v>
      </c>
      <c r="I665" s="326"/>
      <c r="J665" s="325"/>
      <c r="K665" s="335">
        <f t="shared" si="9"/>
        <v>0</v>
      </c>
      <c r="L665" s="335">
        <v>0</v>
      </c>
      <c r="M665" s="335"/>
      <c r="N665" s="335">
        <v>0</v>
      </c>
      <c r="O665" s="232"/>
      <c r="P665" s="232"/>
      <c r="Q665" s="232"/>
      <c r="R665" s="232"/>
      <c r="S665" s="232"/>
      <c r="T665" s="232"/>
    </row>
    <row r="666" spans="1:20">
      <c r="A666" s="174">
        <v>330</v>
      </c>
      <c r="B666" s="326">
        <v>100</v>
      </c>
      <c r="C666" s="326">
        <v>100</v>
      </c>
      <c r="D666" s="326">
        <v>500</v>
      </c>
      <c r="E666" s="326">
        <v>5</v>
      </c>
      <c r="F666" s="326">
        <v>0</v>
      </c>
      <c r="G666" s="347" t="s">
        <v>2907</v>
      </c>
      <c r="H666" s="330" t="s">
        <v>1116</v>
      </c>
      <c r="I666" s="326"/>
      <c r="J666" s="326"/>
      <c r="K666" s="334">
        <f t="shared" si="9"/>
        <v>0</v>
      </c>
      <c r="L666" s="334">
        <v>0</v>
      </c>
      <c r="M666" s="334"/>
      <c r="N666" s="334">
        <v>0</v>
      </c>
      <c r="O666" s="232"/>
      <c r="P666" s="232"/>
      <c r="Q666" s="232"/>
      <c r="R666" s="232"/>
      <c r="S666" s="232"/>
      <c r="T666" s="232"/>
    </row>
    <row r="667" spans="1:20">
      <c r="A667" s="174">
        <v>330</v>
      </c>
      <c r="B667" s="326">
        <v>100</v>
      </c>
      <c r="C667" s="326">
        <v>100</v>
      </c>
      <c r="D667" s="326">
        <v>500</v>
      </c>
      <c r="E667" s="326">
        <v>10</v>
      </c>
      <c r="F667" s="326">
        <v>0</v>
      </c>
      <c r="G667" s="347" t="s">
        <v>2908</v>
      </c>
      <c r="H667" s="330" t="s">
        <v>1117</v>
      </c>
      <c r="I667" s="326"/>
      <c r="J667" s="326"/>
      <c r="K667" s="334">
        <f t="shared" si="9"/>
        <v>0</v>
      </c>
      <c r="L667" s="334">
        <v>0</v>
      </c>
      <c r="M667" s="334"/>
      <c r="N667" s="334">
        <v>0</v>
      </c>
      <c r="O667" s="232"/>
      <c r="P667" s="232"/>
      <c r="Q667" s="232"/>
      <c r="R667" s="232"/>
      <c r="S667" s="232"/>
      <c r="T667" s="232"/>
    </row>
    <row r="668" spans="1:20">
      <c r="A668" s="174">
        <v>330</v>
      </c>
      <c r="B668" s="326">
        <v>100</v>
      </c>
      <c r="C668" s="326">
        <v>100</v>
      </c>
      <c r="D668" s="326">
        <v>500</v>
      </c>
      <c r="E668" s="326">
        <v>15</v>
      </c>
      <c r="F668" s="326">
        <v>0</v>
      </c>
      <c r="G668" s="347" t="s">
        <v>2909</v>
      </c>
      <c r="H668" s="330" t="s">
        <v>1176</v>
      </c>
      <c r="I668" s="326"/>
      <c r="J668" s="326"/>
      <c r="K668" s="334">
        <f t="shared" si="9"/>
        <v>0</v>
      </c>
      <c r="L668" s="334">
        <v>0</v>
      </c>
      <c r="M668" s="334"/>
      <c r="N668" s="334">
        <v>425.81</v>
      </c>
      <c r="O668" s="232"/>
      <c r="P668" s="232"/>
      <c r="Q668" s="232"/>
      <c r="R668" s="232"/>
      <c r="S668" s="232"/>
      <c r="T668" s="232"/>
    </row>
    <row r="669" spans="1:20">
      <c r="A669" s="174">
        <v>330</v>
      </c>
      <c r="B669" s="326">
        <v>100</v>
      </c>
      <c r="C669" s="326">
        <v>100</v>
      </c>
      <c r="D669" s="326">
        <v>900</v>
      </c>
      <c r="E669" s="326">
        <v>0</v>
      </c>
      <c r="F669" s="326">
        <v>0</v>
      </c>
      <c r="G669" s="347" t="s">
        <v>2910</v>
      </c>
      <c r="H669" s="330" t="s">
        <v>1135</v>
      </c>
      <c r="I669" s="326"/>
      <c r="J669" s="326"/>
      <c r="K669" s="334">
        <f t="shared" si="9"/>
        <v>61688.32</v>
      </c>
      <c r="L669" s="334">
        <v>61688.32</v>
      </c>
      <c r="M669" s="334"/>
      <c r="N669" s="334">
        <v>49847.82</v>
      </c>
      <c r="O669" s="232"/>
      <c r="P669" s="232"/>
      <c r="Q669" s="232"/>
      <c r="R669" s="232"/>
      <c r="S669" s="232"/>
      <c r="T669" s="232"/>
    </row>
    <row r="670" spans="1:20" ht="25.5">
      <c r="A670" s="174">
        <v>330</v>
      </c>
      <c r="B670" s="326">
        <v>100</v>
      </c>
      <c r="C670" s="326">
        <v>101</v>
      </c>
      <c r="D670" s="326">
        <v>0</v>
      </c>
      <c r="E670" s="326">
        <v>0</v>
      </c>
      <c r="F670" s="326">
        <v>0</v>
      </c>
      <c r="G670" s="331" t="s">
        <v>3498</v>
      </c>
      <c r="H670" s="331" t="s">
        <v>3493</v>
      </c>
      <c r="I670" s="326" t="s">
        <v>1175</v>
      </c>
      <c r="J670" s="325"/>
      <c r="K670" s="335"/>
      <c r="L670" s="335"/>
      <c r="M670" s="335"/>
      <c r="N670" s="335"/>
      <c r="O670" s="232"/>
      <c r="P670" s="232"/>
      <c r="Q670" s="232"/>
      <c r="R670" s="232"/>
      <c r="S670" s="232"/>
      <c r="T670" s="232"/>
    </row>
    <row r="671" spans="1:20">
      <c r="A671" s="326">
        <v>330</v>
      </c>
      <c r="B671" s="326">
        <v>100</v>
      </c>
      <c r="C671" s="326">
        <v>101</v>
      </c>
      <c r="D671" s="326">
        <v>100</v>
      </c>
      <c r="E671" s="326">
        <v>0</v>
      </c>
      <c r="F671" s="326">
        <v>0</v>
      </c>
      <c r="G671" s="409" t="s">
        <v>3499</v>
      </c>
      <c r="H671" s="347" t="s">
        <v>1107</v>
      </c>
      <c r="I671" s="326"/>
      <c r="J671" s="325"/>
      <c r="K671" s="336"/>
      <c r="L671" s="336"/>
      <c r="M671" s="336"/>
      <c r="N671" s="336"/>
      <c r="O671" s="232"/>
      <c r="P671" s="232"/>
      <c r="Q671" s="232"/>
      <c r="R671" s="232"/>
      <c r="S671" s="232"/>
      <c r="T671" s="232"/>
    </row>
    <row r="672" spans="1:20">
      <c r="A672" s="326">
        <v>330</v>
      </c>
      <c r="B672" s="326">
        <v>100</v>
      </c>
      <c r="C672" s="326">
        <v>101</v>
      </c>
      <c r="D672" s="326">
        <v>200</v>
      </c>
      <c r="E672" s="326">
        <v>0</v>
      </c>
      <c r="F672" s="326">
        <v>0</v>
      </c>
      <c r="G672" s="409" t="s">
        <v>3500</v>
      </c>
      <c r="H672" s="347" t="s">
        <v>1108</v>
      </c>
      <c r="I672" s="326"/>
      <c r="J672" s="325"/>
      <c r="K672" s="336"/>
      <c r="L672" s="336"/>
      <c r="M672" s="336"/>
      <c r="N672" s="336"/>
      <c r="O672" s="232"/>
      <c r="P672" s="232"/>
      <c r="Q672" s="232"/>
      <c r="R672" s="232"/>
      <c r="S672" s="232"/>
      <c r="T672" s="232"/>
    </row>
    <row r="673" spans="1:20">
      <c r="A673" s="326">
        <v>330</v>
      </c>
      <c r="B673" s="326">
        <v>100</v>
      </c>
      <c r="C673" s="326">
        <v>101</v>
      </c>
      <c r="D673" s="326">
        <v>300</v>
      </c>
      <c r="E673" s="326">
        <v>0</v>
      </c>
      <c r="F673" s="326">
        <v>0</v>
      </c>
      <c r="G673" s="409" t="s">
        <v>3501</v>
      </c>
      <c r="H673" s="347" t="s">
        <v>1131</v>
      </c>
      <c r="I673" s="326"/>
      <c r="J673" s="325"/>
      <c r="K673" s="336"/>
      <c r="L673" s="336"/>
      <c r="M673" s="336"/>
      <c r="N673" s="336"/>
      <c r="O673" s="232"/>
      <c r="P673" s="232"/>
      <c r="Q673" s="232"/>
      <c r="R673" s="232"/>
      <c r="S673" s="232"/>
      <c r="T673" s="232"/>
    </row>
    <row r="674" spans="1:20">
      <c r="A674" s="326">
        <v>330</v>
      </c>
      <c r="B674" s="326">
        <v>100</v>
      </c>
      <c r="C674" s="326">
        <v>101</v>
      </c>
      <c r="D674" s="326">
        <v>400</v>
      </c>
      <c r="E674" s="326">
        <v>0</v>
      </c>
      <c r="F674" s="326">
        <v>0</v>
      </c>
      <c r="G674" s="409" t="s">
        <v>3502</v>
      </c>
      <c r="H674" s="347" t="s">
        <v>1132</v>
      </c>
      <c r="I674" s="326"/>
      <c r="J674" s="325"/>
      <c r="K674" s="336"/>
      <c r="L674" s="336"/>
      <c r="M674" s="336"/>
      <c r="N674" s="336"/>
      <c r="O674" s="232"/>
      <c r="P674" s="232"/>
      <c r="Q674" s="232"/>
      <c r="R674" s="232"/>
      <c r="S674" s="232"/>
      <c r="T674" s="232"/>
    </row>
    <row r="675" spans="1:20">
      <c r="A675" s="174">
        <v>330</v>
      </c>
      <c r="B675" s="326">
        <v>100</v>
      </c>
      <c r="C675" s="326">
        <v>101</v>
      </c>
      <c r="D675" s="326">
        <v>500</v>
      </c>
      <c r="E675" s="326">
        <v>0</v>
      </c>
      <c r="F675" s="326">
        <v>0</v>
      </c>
      <c r="G675" s="348" t="s">
        <v>3503</v>
      </c>
      <c r="H675" s="331" t="s">
        <v>1115</v>
      </c>
      <c r="I675" s="326"/>
      <c r="J675" s="325"/>
      <c r="K675" s="335"/>
      <c r="L675" s="335"/>
      <c r="M675" s="335"/>
      <c r="N675" s="335"/>
      <c r="O675" s="232"/>
      <c r="P675" s="232"/>
      <c r="Q675" s="232"/>
      <c r="R675" s="232"/>
      <c r="S675" s="232"/>
      <c r="T675" s="232"/>
    </row>
    <row r="676" spans="1:20">
      <c r="A676" s="326">
        <v>330</v>
      </c>
      <c r="B676" s="326">
        <v>100</v>
      </c>
      <c r="C676" s="326">
        <v>101</v>
      </c>
      <c r="D676" s="326">
        <v>500</v>
      </c>
      <c r="E676" s="326">
        <v>5</v>
      </c>
      <c r="F676" s="326">
        <v>0</v>
      </c>
      <c r="G676" s="409" t="s">
        <v>3504</v>
      </c>
      <c r="H676" s="347" t="s">
        <v>1116</v>
      </c>
      <c r="I676" s="326"/>
      <c r="J676" s="325"/>
      <c r="K676" s="336"/>
      <c r="L676" s="336"/>
      <c r="M676" s="336"/>
      <c r="N676" s="336"/>
      <c r="O676" s="232"/>
      <c r="P676" s="232"/>
      <c r="Q676" s="232"/>
      <c r="R676" s="232"/>
      <c r="S676" s="232"/>
      <c r="T676" s="232"/>
    </row>
    <row r="677" spans="1:20">
      <c r="A677" s="326">
        <v>330</v>
      </c>
      <c r="B677" s="326">
        <v>100</v>
      </c>
      <c r="C677" s="326">
        <v>101</v>
      </c>
      <c r="D677" s="326">
        <v>500</v>
      </c>
      <c r="E677" s="326">
        <v>10</v>
      </c>
      <c r="F677" s="326">
        <v>0</v>
      </c>
      <c r="G677" s="409" t="s">
        <v>3505</v>
      </c>
      <c r="H677" s="347" t="s">
        <v>1117</v>
      </c>
      <c r="I677" s="326"/>
      <c r="J677" s="325"/>
      <c r="K677" s="336"/>
      <c r="L677" s="336"/>
      <c r="M677" s="336"/>
      <c r="N677" s="336"/>
      <c r="O677" s="232"/>
      <c r="P677" s="232"/>
      <c r="Q677" s="232"/>
      <c r="R677" s="232"/>
      <c r="S677" s="232"/>
      <c r="T677" s="232"/>
    </row>
    <row r="678" spans="1:20">
      <c r="A678" s="326">
        <v>330</v>
      </c>
      <c r="B678" s="326">
        <v>100</v>
      </c>
      <c r="C678" s="326">
        <v>101</v>
      </c>
      <c r="D678" s="326">
        <v>500</v>
      </c>
      <c r="E678" s="326">
        <v>15</v>
      </c>
      <c r="F678" s="326">
        <v>0</v>
      </c>
      <c r="G678" s="409" t="s">
        <v>3506</v>
      </c>
      <c r="H678" s="347" t="s">
        <v>3494</v>
      </c>
      <c r="I678" s="326"/>
      <c r="J678" s="325"/>
      <c r="K678" s="336"/>
      <c r="L678" s="336"/>
      <c r="M678" s="336"/>
      <c r="N678" s="336"/>
      <c r="O678" s="232"/>
      <c r="P678" s="232"/>
      <c r="Q678" s="232"/>
      <c r="R678" s="232"/>
      <c r="S678" s="232"/>
      <c r="T678" s="232"/>
    </row>
    <row r="679" spans="1:20">
      <c r="A679" s="326">
        <v>330</v>
      </c>
      <c r="B679" s="326">
        <v>100</v>
      </c>
      <c r="C679" s="326">
        <v>101</v>
      </c>
      <c r="D679" s="326">
        <v>900</v>
      </c>
      <c r="E679" s="326">
        <v>0</v>
      </c>
      <c r="F679" s="326">
        <v>0</v>
      </c>
      <c r="G679" s="409" t="s">
        <v>3507</v>
      </c>
      <c r="H679" s="347" t="s">
        <v>1135</v>
      </c>
      <c r="I679" s="326"/>
      <c r="J679" s="325"/>
      <c r="K679" s="336"/>
      <c r="L679" s="336"/>
      <c r="M679" s="336"/>
      <c r="N679" s="336"/>
      <c r="O679" s="232"/>
      <c r="P679" s="232"/>
      <c r="Q679" s="232"/>
      <c r="R679" s="232"/>
      <c r="S679" s="232"/>
      <c r="T679" s="232"/>
    </row>
    <row r="680" spans="1:20" ht="25.5">
      <c r="A680" s="174">
        <v>330</v>
      </c>
      <c r="B680" s="326">
        <v>100</v>
      </c>
      <c r="C680" s="326">
        <v>200</v>
      </c>
      <c r="D680" s="326">
        <v>0</v>
      </c>
      <c r="E680" s="326">
        <v>0</v>
      </c>
      <c r="F680" s="326">
        <v>0</v>
      </c>
      <c r="G680" s="331" t="s">
        <v>2911</v>
      </c>
      <c r="H680" s="331" t="s">
        <v>1177</v>
      </c>
      <c r="I680" s="326" t="s">
        <v>1178</v>
      </c>
      <c r="J680" s="325"/>
      <c r="K680" s="335">
        <f t="shared" si="9"/>
        <v>0</v>
      </c>
      <c r="L680" s="335">
        <v>0</v>
      </c>
      <c r="M680" s="335"/>
      <c r="N680" s="335"/>
      <c r="O680" s="232"/>
      <c r="P680" s="232"/>
      <c r="Q680" s="232"/>
      <c r="R680" s="232"/>
      <c r="S680" s="232"/>
      <c r="T680" s="232"/>
    </row>
    <row r="681" spans="1:20">
      <c r="A681" s="174">
        <v>330</v>
      </c>
      <c r="B681" s="326">
        <v>100</v>
      </c>
      <c r="C681" s="326">
        <v>200</v>
      </c>
      <c r="D681" s="326">
        <v>100</v>
      </c>
      <c r="E681" s="326">
        <v>0</v>
      </c>
      <c r="F681" s="326">
        <v>0</v>
      </c>
      <c r="G681" s="347" t="s">
        <v>2912</v>
      </c>
      <c r="H681" s="330" t="s">
        <v>1107</v>
      </c>
      <c r="I681" s="326"/>
      <c r="J681" s="326"/>
      <c r="K681" s="334">
        <f t="shared" si="9"/>
        <v>47667.91</v>
      </c>
      <c r="L681" s="334">
        <v>47667.91</v>
      </c>
      <c r="M681" s="334"/>
      <c r="N681" s="334">
        <v>22619.42</v>
      </c>
      <c r="O681" s="232"/>
      <c r="P681" s="232"/>
      <c r="Q681" s="232"/>
      <c r="R681" s="232"/>
      <c r="S681" s="232"/>
      <c r="T681" s="232"/>
    </row>
    <row r="682" spans="1:20">
      <c r="A682" s="174">
        <v>330</v>
      </c>
      <c r="B682" s="326">
        <v>100</v>
      </c>
      <c r="C682" s="326">
        <v>200</v>
      </c>
      <c r="D682" s="326">
        <v>200</v>
      </c>
      <c r="E682" s="326">
        <v>0</v>
      </c>
      <c r="F682" s="326">
        <v>0</v>
      </c>
      <c r="G682" s="347" t="s">
        <v>2913</v>
      </c>
      <c r="H682" s="330" t="s">
        <v>1108</v>
      </c>
      <c r="I682" s="326"/>
      <c r="J682" s="326"/>
      <c r="K682" s="334">
        <f t="shared" si="9"/>
        <v>6544.23</v>
      </c>
      <c r="L682" s="334">
        <v>6544.23</v>
      </c>
      <c r="M682" s="334"/>
      <c r="N682" s="334">
        <v>2457.79</v>
      </c>
      <c r="O682" s="232"/>
      <c r="P682" s="232"/>
      <c r="Q682" s="232"/>
      <c r="R682" s="232"/>
      <c r="S682" s="232"/>
      <c r="T682" s="232"/>
    </row>
    <row r="683" spans="1:20">
      <c r="A683" s="174">
        <v>330</v>
      </c>
      <c r="B683" s="326">
        <v>100</v>
      </c>
      <c r="C683" s="326">
        <v>200</v>
      </c>
      <c r="D683" s="326">
        <v>300</v>
      </c>
      <c r="E683" s="326">
        <v>0</v>
      </c>
      <c r="F683" s="326">
        <v>0</v>
      </c>
      <c r="G683" s="347" t="s">
        <v>2914</v>
      </c>
      <c r="H683" s="330" t="s">
        <v>1131</v>
      </c>
      <c r="I683" s="326"/>
      <c r="J683" s="326"/>
      <c r="K683" s="334">
        <f t="shared" ref="K683:K758" si="10">+L683+M683</f>
        <v>0</v>
      </c>
      <c r="L683" s="334">
        <v>0</v>
      </c>
      <c r="M683" s="334"/>
      <c r="N683" s="334">
        <v>2085.11</v>
      </c>
      <c r="O683" s="232"/>
      <c r="P683" s="232"/>
      <c r="Q683" s="232"/>
      <c r="R683" s="232"/>
      <c r="S683" s="232"/>
      <c r="T683" s="232"/>
    </row>
    <row r="684" spans="1:20">
      <c r="A684" s="174">
        <v>330</v>
      </c>
      <c r="B684" s="326">
        <v>100</v>
      </c>
      <c r="C684" s="326">
        <v>200</v>
      </c>
      <c r="D684" s="326">
        <v>400</v>
      </c>
      <c r="E684" s="326">
        <v>0</v>
      </c>
      <c r="F684" s="326">
        <v>0</v>
      </c>
      <c r="G684" s="347" t="s">
        <v>2915</v>
      </c>
      <c r="H684" s="330" t="s">
        <v>1132</v>
      </c>
      <c r="I684" s="326"/>
      <c r="J684" s="326"/>
      <c r="K684" s="334">
        <f t="shared" si="10"/>
        <v>0</v>
      </c>
      <c r="L684" s="334">
        <v>0</v>
      </c>
      <c r="M684" s="334"/>
      <c r="N684" s="334">
        <v>235.11</v>
      </c>
      <c r="O684" s="232"/>
      <c r="P684" s="232"/>
      <c r="Q684" s="232"/>
      <c r="R684" s="232"/>
      <c r="S684" s="232"/>
      <c r="T684" s="232"/>
    </row>
    <row r="685" spans="1:20">
      <c r="A685" s="174">
        <v>330</v>
      </c>
      <c r="B685" s="326">
        <v>100</v>
      </c>
      <c r="C685" s="326">
        <v>200</v>
      </c>
      <c r="D685" s="326">
        <v>500</v>
      </c>
      <c r="E685" s="326">
        <v>0</v>
      </c>
      <c r="F685" s="326">
        <v>0</v>
      </c>
      <c r="G685" s="348" t="s">
        <v>2916</v>
      </c>
      <c r="H685" s="331" t="s">
        <v>1115</v>
      </c>
      <c r="I685" s="326"/>
      <c r="J685" s="325"/>
      <c r="K685" s="335">
        <f t="shared" si="10"/>
        <v>0</v>
      </c>
      <c r="L685" s="335">
        <v>0</v>
      </c>
      <c r="M685" s="335"/>
      <c r="N685" s="335">
        <v>0</v>
      </c>
      <c r="O685" s="232"/>
      <c r="P685" s="232"/>
      <c r="Q685" s="232"/>
      <c r="R685" s="232"/>
      <c r="S685" s="232"/>
      <c r="T685" s="232"/>
    </row>
    <row r="686" spans="1:20">
      <c r="A686" s="174">
        <v>330</v>
      </c>
      <c r="B686" s="326">
        <v>100</v>
      </c>
      <c r="C686" s="326">
        <v>200</v>
      </c>
      <c r="D686" s="326">
        <v>500</v>
      </c>
      <c r="E686" s="326">
        <v>5</v>
      </c>
      <c r="F686" s="326">
        <v>0</v>
      </c>
      <c r="G686" s="347" t="s">
        <v>2917</v>
      </c>
      <c r="H686" s="330" t="s">
        <v>1116</v>
      </c>
      <c r="I686" s="326"/>
      <c r="J686" s="326"/>
      <c r="K686" s="334">
        <f t="shared" si="10"/>
        <v>0</v>
      </c>
      <c r="L686" s="334">
        <v>0</v>
      </c>
      <c r="M686" s="334"/>
      <c r="N686" s="334">
        <v>0</v>
      </c>
      <c r="O686" s="232"/>
      <c r="P686" s="232"/>
      <c r="Q686" s="232"/>
      <c r="R686" s="232"/>
      <c r="S686" s="232"/>
      <c r="T686" s="232"/>
    </row>
    <row r="687" spans="1:20">
      <c r="A687" s="174">
        <v>330</v>
      </c>
      <c r="B687" s="326">
        <v>100</v>
      </c>
      <c r="C687" s="326">
        <v>200</v>
      </c>
      <c r="D687" s="326">
        <v>500</v>
      </c>
      <c r="E687" s="326">
        <v>10</v>
      </c>
      <c r="F687" s="326">
        <v>0</v>
      </c>
      <c r="G687" s="347" t="s">
        <v>2918</v>
      </c>
      <c r="H687" s="330" t="s">
        <v>1117</v>
      </c>
      <c r="I687" s="326"/>
      <c r="J687" s="326"/>
      <c r="K687" s="334">
        <f t="shared" si="10"/>
        <v>0</v>
      </c>
      <c r="L687" s="334">
        <v>0</v>
      </c>
      <c r="M687" s="334"/>
      <c r="N687" s="334">
        <v>0</v>
      </c>
      <c r="O687" s="232"/>
      <c r="P687" s="232"/>
      <c r="Q687" s="232"/>
      <c r="R687" s="232"/>
      <c r="S687" s="232"/>
      <c r="T687" s="232"/>
    </row>
    <row r="688" spans="1:20">
      <c r="A688" s="174">
        <v>330</v>
      </c>
      <c r="B688" s="326">
        <v>100</v>
      </c>
      <c r="C688" s="326">
        <v>200</v>
      </c>
      <c r="D688" s="326">
        <v>500</v>
      </c>
      <c r="E688" s="326">
        <v>15</v>
      </c>
      <c r="F688" s="326">
        <v>0</v>
      </c>
      <c r="G688" s="347" t="s">
        <v>2919</v>
      </c>
      <c r="H688" s="330" t="s">
        <v>1176</v>
      </c>
      <c r="I688" s="326"/>
      <c r="J688" s="326"/>
      <c r="K688" s="334">
        <f t="shared" si="10"/>
        <v>20.45</v>
      </c>
      <c r="L688" s="334">
        <v>20.45</v>
      </c>
      <c r="M688" s="334"/>
      <c r="N688" s="334">
        <v>19.2</v>
      </c>
      <c r="O688" s="232"/>
      <c r="P688" s="232"/>
      <c r="Q688" s="232"/>
      <c r="R688" s="232"/>
      <c r="S688" s="232"/>
      <c r="T688" s="232"/>
    </row>
    <row r="689" spans="1:20">
      <c r="A689" s="174">
        <v>330</v>
      </c>
      <c r="B689" s="326">
        <v>100</v>
      </c>
      <c r="C689" s="326">
        <v>200</v>
      </c>
      <c r="D689" s="326">
        <v>900</v>
      </c>
      <c r="E689" s="326">
        <v>0</v>
      </c>
      <c r="F689" s="326">
        <v>0</v>
      </c>
      <c r="G689" s="347" t="s">
        <v>2920</v>
      </c>
      <c r="H689" s="330" t="s">
        <v>1135</v>
      </c>
      <c r="I689" s="326"/>
      <c r="J689" s="326"/>
      <c r="K689" s="334">
        <f t="shared" si="10"/>
        <v>15948.37</v>
      </c>
      <c r="L689" s="334">
        <v>15948.37</v>
      </c>
      <c r="M689" s="334"/>
      <c r="N689" s="334">
        <v>8017.57</v>
      </c>
      <c r="O689" s="232"/>
      <c r="P689" s="232"/>
      <c r="Q689" s="232"/>
      <c r="R689" s="232"/>
      <c r="S689" s="232"/>
      <c r="T689" s="232"/>
    </row>
    <row r="690" spans="1:20" ht="25.5">
      <c r="A690" s="174">
        <v>330</v>
      </c>
      <c r="B690" s="326">
        <v>100</v>
      </c>
      <c r="C690" s="326">
        <v>201</v>
      </c>
      <c r="D690" s="326">
        <v>0</v>
      </c>
      <c r="E690" s="326">
        <v>0</v>
      </c>
      <c r="F690" s="326">
        <v>0</v>
      </c>
      <c r="G690" s="331" t="s">
        <v>3508</v>
      </c>
      <c r="H690" s="331" t="s">
        <v>3495</v>
      </c>
      <c r="I690" s="326" t="s">
        <v>1178</v>
      </c>
      <c r="J690" s="325"/>
      <c r="K690" s="335"/>
      <c r="L690" s="335">
        <v>0</v>
      </c>
      <c r="M690" s="335"/>
      <c r="N690" s="335"/>
      <c r="O690" s="232"/>
      <c r="P690" s="232"/>
      <c r="Q690" s="232"/>
      <c r="R690" s="232"/>
      <c r="S690" s="232"/>
      <c r="T690" s="232"/>
    </row>
    <row r="691" spans="1:20">
      <c r="A691" s="174">
        <v>330</v>
      </c>
      <c r="B691" s="326">
        <v>100</v>
      </c>
      <c r="C691" s="326">
        <v>201</v>
      </c>
      <c r="D691" s="326">
        <v>100</v>
      </c>
      <c r="E691" s="326">
        <v>0</v>
      </c>
      <c r="F691" s="326">
        <v>0</v>
      </c>
      <c r="G691" s="347" t="s">
        <v>3509</v>
      </c>
      <c r="H691" s="330" t="s">
        <v>1107</v>
      </c>
      <c r="I691" s="326"/>
      <c r="J691" s="326"/>
      <c r="K691" s="334">
        <f>+L691+M691</f>
        <v>0</v>
      </c>
      <c r="L691" s="334"/>
      <c r="M691" s="334"/>
      <c r="N691" s="334"/>
      <c r="O691" s="232"/>
      <c r="P691" s="232"/>
      <c r="Q691" s="232"/>
      <c r="R691" s="232"/>
      <c r="S691" s="232"/>
      <c r="T691" s="232"/>
    </row>
    <row r="692" spans="1:20">
      <c r="A692" s="174">
        <v>330</v>
      </c>
      <c r="B692" s="326">
        <v>100</v>
      </c>
      <c r="C692" s="326">
        <v>201</v>
      </c>
      <c r="D692" s="326">
        <v>200</v>
      </c>
      <c r="E692" s="326">
        <v>0</v>
      </c>
      <c r="F692" s="326">
        <v>0</v>
      </c>
      <c r="G692" s="347" t="s">
        <v>3510</v>
      </c>
      <c r="H692" s="330" t="s">
        <v>1108</v>
      </c>
      <c r="I692" s="326"/>
      <c r="J692" s="326"/>
      <c r="K692" s="334">
        <f t="shared" ref="K692:K701" si="11">+L692+M692</f>
        <v>0</v>
      </c>
      <c r="L692" s="334"/>
      <c r="M692" s="334"/>
      <c r="N692" s="334"/>
      <c r="O692" s="232"/>
      <c r="P692" s="232"/>
      <c r="Q692" s="232"/>
      <c r="R692" s="232"/>
      <c r="S692" s="232"/>
      <c r="T692" s="232"/>
    </row>
    <row r="693" spans="1:20">
      <c r="A693" s="174">
        <v>330</v>
      </c>
      <c r="B693" s="326">
        <v>100</v>
      </c>
      <c r="C693" s="326">
        <v>201</v>
      </c>
      <c r="D693" s="326">
        <v>300</v>
      </c>
      <c r="E693" s="326">
        <v>0</v>
      </c>
      <c r="F693" s="326">
        <v>0</v>
      </c>
      <c r="G693" s="347" t="s">
        <v>3511</v>
      </c>
      <c r="H693" s="330" t="s">
        <v>1131</v>
      </c>
      <c r="I693" s="326"/>
      <c r="J693" s="326"/>
      <c r="K693" s="334">
        <f t="shared" si="11"/>
        <v>0</v>
      </c>
      <c r="L693" s="334"/>
      <c r="M693" s="334"/>
      <c r="N693" s="334"/>
      <c r="O693" s="232"/>
      <c r="P693" s="232"/>
      <c r="Q693" s="232"/>
      <c r="R693" s="232"/>
      <c r="S693" s="232"/>
      <c r="T693" s="232"/>
    </row>
    <row r="694" spans="1:20">
      <c r="A694" s="174">
        <v>330</v>
      </c>
      <c r="B694" s="326">
        <v>100</v>
      </c>
      <c r="C694" s="326">
        <v>201</v>
      </c>
      <c r="D694" s="326">
        <v>400</v>
      </c>
      <c r="E694" s="326">
        <v>0</v>
      </c>
      <c r="F694" s="326">
        <v>0</v>
      </c>
      <c r="G694" s="347" t="s">
        <v>3512</v>
      </c>
      <c r="H694" s="330" t="s">
        <v>1132</v>
      </c>
      <c r="I694" s="326"/>
      <c r="J694" s="326"/>
      <c r="K694" s="334">
        <f t="shared" si="11"/>
        <v>0</v>
      </c>
      <c r="L694" s="334"/>
      <c r="M694" s="334"/>
      <c r="N694" s="334"/>
      <c r="O694" s="232"/>
      <c r="P694" s="232"/>
      <c r="Q694" s="232"/>
      <c r="R694" s="232"/>
      <c r="S694" s="232"/>
      <c r="T694" s="232"/>
    </row>
    <row r="695" spans="1:20">
      <c r="A695" s="174">
        <v>330</v>
      </c>
      <c r="B695" s="326">
        <v>100</v>
      </c>
      <c r="C695" s="326">
        <v>201</v>
      </c>
      <c r="D695" s="326">
        <v>500</v>
      </c>
      <c r="E695" s="326">
        <v>0</v>
      </c>
      <c r="F695" s="326">
        <v>0</v>
      </c>
      <c r="G695" s="347" t="s">
        <v>3513</v>
      </c>
      <c r="H695" s="330" t="s">
        <v>1115</v>
      </c>
      <c r="I695" s="326"/>
      <c r="J695" s="326"/>
      <c r="K695" s="334">
        <f t="shared" si="11"/>
        <v>0</v>
      </c>
      <c r="L695" s="334"/>
      <c r="M695" s="334"/>
      <c r="N695" s="334"/>
      <c r="O695" s="232"/>
      <c r="P695" s="232"/>
      <c r="Q695" s="232"/>
      <c r="R695" s="232"/>
      <c r="S695" s="232"/>
      <c r="T695" s="232"/>
    </row>
    <row r="696" spans="1:20">
      <c r="A696" s="174">
        <v>330</v>
      </c>
      <c r="B696" s="326">
        <v>100</v>
      </c>
      <c r="C696" s="326">
        <v>201</v>
      </c>
      <c r="D696" s="326">
        <v>500</v>
      </c>
      <c r="E696" s="326">
        <v>5</v>
      </c>
      <c r="F696" s="326">
        <v>0</v>
      </c>
      <c r="G696" s="347" t="s">
        <v>3514</v>
      </c>
      <c r="H696" s="330" t="s">
        <v>1116</v>
      </c>
      <c r="I696" s="326"/>
      <c r="J696" s="326"/>
      <c r="K696" s="334">
        <f t="shared" si="11"/>
        <v>0</v>
      </c>
      <c r="L696" s="334"/>
      <c r="M696" s="334"/>
      <c r="N696" s="334"/>
      <c r="O696" s="232"/>
      <c r="P696" s="232"/>
      <c r="Q696" s="232"/>
      <c r="R696" s="232"/>
      <c r="S696" s="232"/>
      <c r="T696" s="232"/>
    </row>
    <row r="697" spans="1:20">
      <c r="A697" s="174">
        <v>330</v>
      </c>
      <c r="B697" s="326">
        <v>100</v>
      </c>
      <c r="C697" s="326">
        <v>201</v>
      </c>
      <c r="D697" s="326">
        <v>500</v>
      </c>
      <c r="E697" s="326">
        <v>10</v>
      </c>
      <c r="F697" s="326">
        <v>0</v>
      </c>
      <c r="G697" s="347" t="s">
        <v>3515</v>
      </c>
      <c r="H697" s="330" t="s">
        <v>1117</v>
      </c>
      <c r="I697" s="326"/>
      <c r="J697" s="326"/>
      <c r="K697" s="334">
        <f t="shared" si="11"/>
        <v>0</v>
      </c>
      <c r="L697" s="334"/>
      <c r="M697" s="334"/>
      <c r="N697" s="334"/>
      <c r="O697" s="232"/>
      <c r="P697" s="232"/>
      <c r="Q697" s="232"/>
      <c r="R697" s="232"/>
      <c r="S697" s="232"/>
      <c r="T697" s="232"/>
    </row>
    <row r="698" spans="1:20" ht="25.5">
      <c r="A698" s="174">
        <v>330</v>
      </c>
      <c r="B698" s="326">
        <v>100</v>
      </c>
      <c r="C698" s="326">
        <v>201</v>
      </c>
      <c r="D698" s="326">
        <v>500</v>
      </c>
      <c r="E698" s="326">
        <v>15</v>
      </c>
      <c r="F698" s="326">
        <v>0</v>
      </c>
      <c r="G698" s="347" t="s">
        <v>3516</v>
      </c>
      <c r="H698" s="330" t="s">
        <v>3494</v>
      </c>
      <c r="I698" s="326"/>
      <c r="J698" s="326"/>
      <c r="K698" s="334">
        <f t="shared" si="11"/>
        <v>0</v>
      </c>
      <c r="L698" s="334"/>
      <c r="M698" s="334"/>
      <c r="N698" s="334"/>
      <c r="O698" s="232"/>
      <c r="P698" s="232"/>
      <c r="Q698" s="232"/>
      <c r="R698" s="232"/>
      <c r="S698" s="232"/>
      <c r="T698" s="232"/>
    </row>
    <row r="699" spans="1:20">
      <c r="A699" s="174">
        <v>330</v>
      </c>
      <c r="B699" s="326">
        <v>100</v>
      </c>
      <c r="C699" s="326">
        <v>201</v>
      </c>
      <c r="D699" s="326">
        <v>900</v>
      </c>
      <c r="E699" s="326">
        <v>0</v>
      </c>
      <c r="F699" s="326">
        <v>0</v>
      </c>
      <c r="G699" s="347" t="s">
        <v>3517</v>
      </c>
      <c r="H699" s="330" t="s">
        <v>1135</v>
      </c>
      <c r="I699" s="326"/>
      <c r="J699" s="326"/>
      <c r="K699" s="334">
        <f t="shared" si="11"/>
        <v>0</v>
      </c>
      <c r="L699" s="334"/>
      <c r="M699" s="334"/>
      <c r="N699" s="334"/>
      <c r="O699" s="232"/>
      <c r="P699" s="232"/>
      <c r="Q699" s="232"/>
      <c r="R699" s="232"/>
      <c r="S699" s="232"/>
      <c r="T699" s="232"/>
    </row>
    <row r="700" spans="1:20">
      <c r="A700" s="174">
        <v>330</v>
      </c>
      <c r="B700" s="326">
        <v>100</v>
      </c>
      <c r="C700" s="326">
        <v>300</v>
      </c>
      <c r="D700" s="326">
        <v>0</v>
      </c>
      <c r="E700" s="326">
        <v>0</v>
      </c>
      <c r="F700" s="326">
        <v>0</v>
      </c>
      <c r="G700" s="331" t="s">
        <v>2921</v>
      </c>
      <c r="H700" s="330" t="s">
        <v>1179</v>
      </c>
      <c r="I700" s="326" t="s">
        <v>1180</v>
      </c>
      <c r="J700" s="326"/>
      <c r="K700" s="334">
        <f t="shared" si="11"/>
        <v>0</v>
      </c>
      <c r="L700" s="334"/>
      <c r="M700" s="334"/>
      <c r="N700" s="334"/>
      <c r="O700" s="232"/>
      <c r="P700" s="232"/>
      <c r="Q700" s="232"/>
      <c r="R700" s="232"/>
      <c r="S700" s="232"/>
      <c r="T700" s="232"/>
    </row>
    <row r="701" spans="1:20" ht="25.5">
      <c r="A701" s="326">
        <v>330</v>
      </c>
      <c r="B701" s="326">
        <v>100</v>
      </c>
      <c r="C701" s="326">
        <v>400</v>
      </c>
      <c r="D701" s="326">
        <v>0</v>
      </c>
      <c r="E701" s="326">
        <v>0</v>
      </c>
      <c r="F701" s="326">
        <v>0</v>
      </c>
      <c r="G701" s="409" t="s">
        <v>3518</v>
      </c>
      <c r="H701" s="330" t="s">
        <v>3496</v>
      </c>
      <c r="I701" s="326" t="s">
        <v>1180</v>
      </c>
      <c r="J701" s="325"/>
      <c r="K701" s="334">
        <f t="shared" si="11"/>
        <v>0</v>
      </c>
      <c r="L701" s="336">
        <v>0</v>
      </c>
      <c r="M701" s="336"/>
      <c r="N701" s="336"/>
      <c r="O701" s="232"/>
      <c r="P701" s="232"/>
      <c r="Q701" s="232"/>
      <c r="R701" s="232"/>
      <c r="S701" s="232"/>
      <c r="T701" s="232"/>
    </row>
    <row r="702" spans="1:20">
      <c r="A702" s="174">
        <v>330</v>
      </c>
      <c r="B702" s="326">
        <v>200</v>
      </c>
      <c r="C702" s="326">
        <v>0</v>
      </c>
      <c r="D702" s="326">
        <v>0</v>
      </c>
      <c r="E702" s="326">
        <v>0</v>
      </c>
      <c r="F702" s="326">
        <v>0</v>
      </c>
      <c r="G702" s="331" t="s">
        <v>2922</v>
      </c>
      <c r="H702" s="331" t="s">
        <v>1181</v>
      </c>
      <c r="I702" s="326" t="s">
        <v>1182</v>
      </c>
      <c r="J702" s="325"/>
      <c r="K702" s="335">
        <f t="shared" si="10"/>
        <v>0</v>
      </c>
      <c r="L702" s="335"/>
      <c r="M702" s="335"/>
      <c r="N702" s="335"/>
      <c r="O702" s="232"/>
      <c r="P702" s="232"/>
      <c r="Q702" s="232"/>
      <c r="R702" s="232"/>
      <c r="S702" s="232"/>
      <c r="T702" s="232"/>
    </row>
    <row r="703" spans="1:20" ht="25.5">
      <c r="A703" s="174">
        <v>330</v>
      </c>
      <c r="B703" s="326">
        <v>200</v>
      </c>
      <c r="C703" s="326">
        <v>100</v>
      </c>
      <c r="D703" s="326">
        <v>0</v>
      </c>
      <c r="E703" s="326">
        <v>0</v>
      </c>
      <c r="F703" s="326">
        <v>0</v>
      </c>
      <c r="G703" s="331" t="s">
        <v>2923</v>
      </c>
      <c r="H703" s="331" t="s">
        <v>1183</v>
      </c>
      <c r="I703" s="326" t="s">
        <v>1184</v>
      </c>
      <c r="J703" s="325"/>
      <c r="K703" s="335">
        <f t="shared" si="10"/>
        <v>0</v>
      </c>
      <c r="L703" s="335">
        <v>0</v>
      </c>
      <c r="M703" s="335"/>
      <c r="N703" s="335"/>
      <c r="O703" s="232"/>
      <c r="P703" s="232"/>
      <c r="Q703" s="232"/>
      <c r="R703" s="232"/>
      <c r="S703" s="232"/>
      <c r="T703" s="232"/>
    </row>
    <row r="704" spans="1:20">
      <c r="A704" s="174">
        <v>330</v>
      </c>
      <c r="B704" s="326">
        <v>200</v>
      </c>
      <c r="C704" s="326">
        <v>100</v>
      </c>
      <c r="D704" s="326">
        <v>100</v>
      </c>
      <c r="E704" s="326">
        <v>0</v>
      </c>
      <c r="F704" s="326">
        <v>0</v>
      </c>
      <c r="G704" s="347" t="s">
        <v>2924</v>
      </c>
      <c r="H704" s="330" t="s">
        <v>1107</v>
      </c>
      <c r="I704" s="326"/>
      <c r="J704" s="326"/>
      <c r="K704" s="334">
        <f t="shared" si="10"/>
        <v>571578.21</v>
      </c>
      <c r="L704" s="334">
        <v>571578.21</v>
      </c>
      <c r="M704" s="334"/>
      <c r="N704" s="334">
        <v>516058.87</v>
      </c>
      <c r="O704" s="232"/>
      <c r="P704" s="232"/>
      <c r="Q704" s="232"/>
      <c r="R704" s="232"/>
      <c r="S704" s="232"/>
      <c r="T704" s="232"/>
    </row>
    <row r="705" spans="1:20">
      <c r="A705" s="174">
        <v>330</v>
      </c>
      <c r="B705" s="326">
        <v>200</v>
      </c>
      <c r="C705" s="326">
        <v>100</v>
      </c>
      <c r="D705" s="326">
        <v>200</v>
      </c>
      <c r="E705" s="326">
        <v>0</v>
      </c>
      <c r="F705" s="326">
        <v>0</v>
      </c>
      <c r="G705" s="347" t="s">
        <v>2925</v>
      </c>
      <c r="H705" s="330" t="s">
        <v>1143</v>
      </c>
      <c r="I705" s="326"/>
      <c r="J705" s="326"/>
      <c r="K705" s="334">
        <f t="shared" si="10"/>
        <v>4294.8500000000004</v>
      </c>
      <c r="L705" s="334">
        <v>4294.8500000000004</v>
      </c>
      <c r="M705" s="334"/>
      <c r="N705" s="334">
        <v>5409.62</v>
      </c>
      <c r="O705" s="232"/>
      <c r="P705" s="232"/>
      <c r="Q705" s="232"/>
      <c r="R705" s="232"/>
      <c r="S705" s="232"/>
      <c r="T705" s="232"/>
    </row>
    <row r="706" spans="1:20">
      <c r="A706" s="174">
        <v>330</v>
      </c>
      <c r="B706" s="326">
        <v>200</v>
      </c>
      <c r="C706" s="326">
        <v>100</v>
      </c>
      <c r="D706" s="326">
        <v>300</v>
      </c>
      <c r="E706" s="326">
        <v>0</v>
      </c>
      <c r="F706" s="326">
        <v>0</v>
      </c>
      <c r="G706" s="347" t="s">
        <v>2926</v>
      </c>
      <c r="H706" s="330" t="s">
        <v>1144</v>
      </c>
      <c r="I706" s="326"/>
      <c r="J706" s="326"/>
      <c r="K706" s="334">
        <f t="shared" si="10"/>
        <v>8609.32</v>
      </c>
      <c r="L706" s="334">
        <v>8609.32</v>
      </c>
      <c r="M706" s="334"/>
      <c r="N706" s="334">
        <v>8861.4</v>
      </c>
      <c r="O706" s="232"/>
      <c r="P706" s="232"/>
      <c r="Q706" s="232"/>
      <c r="R706" s="232"/>
      <c r="S706" s="232"/>
      <c r="T706" s="232"/>
    </row>
    <row r="707" spans="1:20">
      <c r="A707" s="174">
        <v>330</v>
      </c>
      <c r="B707" s="326">
        <v>200</v>
      </c>
      <c r="C707" s="326">
        <v>100</v>
      </c>
      <c r="D707" s="326">
        <v>301</v>
      </c>
      <c r="E707" s="326">
        <v>0</v>
      </c>
      <c r="F707" s="326">
        <v>0</v>
      </c>
      <c r="G707" s="347" t="s">
        <v>2303</v>
      </c>
      <c r="H707" s="330" t="s">
        <v>2264</v>
      </c>
      <c r="I707" s="326"/>
      <c r="J707" s="326"/>
      <c r="K707" s="334">
        <f t="shared" si="10"/>
        <v>12155.03</v>
      </c>
      <c r="L707" s="334">
        <v>12155.03</v>
      </c>
      <c r="M707" s="334"/>
      <c r="N707" s="334">
        <v>9546.5499999999993</v>
      </c>
      <c r="O707" s="232"/>
      <c r="P707" s="232"/>
      <c r="Q707" s="232"/>
      <c r="R707" s="232"/>
      <c r="S707" s="232"/>
      <c r="T707" s="232"/>
    </row>
    <row r="708" spans="1:20">
      <c r="A708" s="174">
        <v>330</v>
      </c>
      <c r="B708" s="326">
        <v>200</v>
      </c>
      <c r="C708" s="326">
        <v>100</v>
      </c>
      <c r="D708" s="326">
        <v>302</v>
      </c>
      <c r="E708" s="326">
        <v>0</v>
      </c>
      <c r="F708" s="326">
        <v>0</v>
      </c>
      <c r="G708" s="347" t="s">
        <v>2304</v>
      </c>
      <c r="H708" s="330" t="s">
        <v>2266</v>
      </c>
      <c r="I708" s="326"/>
      <c r="J708" s="326"/>
      <c r="K708" s="334">
        <f t="shared" si="10"/>
        <v>56603.39</v>
      </c>
      <c r="L708" s="334">
        <v>56603.39</v>
      </c>
      <c r="M708" s="334"/>
      <c r="N708" s="334">
        <v>59429.97</v>
      </c>
      <c r="O708" s="232"/>
      <c r="P708" s="232"/>
      <c r="Q708" s="232"/>
      <c r="R708" s="232"/>
      <c r="S708" s="232"/>
      <c r="T708" s="232"/>
    </row>
    <row r="709" spans="1:20">
      <c r="A709" s="174">
        <v>330</v>
      </c>
      <c r="B709" s="326">
        <v>200</v>
      </c>
      <c r="C709" s="326">
        <v>100</v>
      </c>
      <c r="D709" s="326">
        <v>400</v>
      </c>
      <c r="E709" s="326">
        <v>0</v>
      </c>
      <c r="F709" s="326">
        <v>0</v>
      </c>
      <c r="G709" s="347" t="s">
        <v>2927</v>
      </c>
      <c r="H709" s="330" t="s">
        <v>1145</v>
      </c>
      <c r="I709" s="326"/>
      <c r="J709" s="326"/>
      <c r="K709" s="334">
        <f t="shared" si="10"/>
        <v>43331.040000000001</v>
      </c>
      <c r="L709" s="334">
        <v>43331.040000000001</v>
      </c>
      <c r="M709" s="334"/>
      <c r="N709" s="334">
        <v>38875.040000000001</v>
      </c>
      <c r="O709" s="232"/>
      <c r="P709" s="232"/>
      <c r="Q709" s="232"/>
      <c r="R709" s="232"/>
      <c r="S709" s="232"/>
      <c r="T709" s="232"/>
    </row>
    <row r="710" spans="1:20">
      <c r="A710" s="174">
        <v>330</v>
      </c>
      <c r="B710" s="326">
        <v>200</v>
      </c>
      <c r="C710" s="326">
        <v>100</v>
      </c>
      <c r="D710" s="326">
        <v>500</v>
      </c>
      <c r="E710" s="326">
        <v>0</v>
      </c>
      <c r="F710" s="326">
        <v>0</v>
      </c>
      <c r="G710" s="347" t="s">
        <v>2928</v>
      </c>
      <c r="H710" s="330" t="s">
        <v>1132</v>
      </c>
      <c r="I710" s="326"/>
      <c r="J710" s="326"/>
      <c r="K710" s="334">
        <f t="shared" si="10"/>
        <v>7085.88</v>
      </c>
      <c r="L710" s="334">
        <v>7085.88</v>
      </c>
      <c r="M710" s="334"/>
      <c r="N710" s="334">
        <v>7168.26</v>
      </c>
      <c r="O710" s="232"/>
      <c r="P710" s="232"/>
      <c r="Q710" s="232"/>
      <c r="R710" s="232"/>
      <c r="S710" s="232"/>
      <c r="T710" s="232"/>
    </row>
    <row r="711" spans="1:20">
      <c r="A711" s="174">
        <v>330</v>
      </c>
      <c r="B711" s="326">
        <v>200</v>
      </c>
      <c r="C711" s="326">
        <v>100</v>
      </c>
      <c r="D711" s="326">
        <v>600</v>
      </c>
      <c r="E711" s="326">
        <v>0</v>
      </c>
      <c r="F711" s="326">
        <v>0</v>
      </c>
      <c r="G711" s="348" t="s">
        <v>2929</v>
      </c>
      <c r="H711" s="331" t="s">
        <v>1115</v>
      </c>
      <c r="I711" s="326"/>
      <c r="J711" s="325"/>
      <c r="K711" s="335">
        <f t="shared" si="10"/>
        <v>0</v>
      </c>
      <c r="L711" s="335">
        <v>0</v>
      </c>
      <c r="M711" s="335"/>
      <c r="N711" s="335">
        <v>0</v>
      </c>
      <c r="O711" s="232"/>
      <c r="P711" s="232"/>
      <c r="Q711" s="232"/>
      <c r="R711" s="232"/>
      <c r="S711" s="232"/>
      <c r="T711" s="232"/>
    </row>
    <row r="712" spans="1:20">
      <c r="A712" s="174">
        <v>330</v>
      </c>
      <c r="B712" s="326">
        <v>200</v>
      </c>
      <c r="C712" s="326">
        <v>100</v>
      </c>
      <c r="D712" s="326">
        <v>600</v>
      </c>
      <c r="E712" s="326">
        <v>5</v>
      </c>
      <c r="F712" s="326">
        <v>0</v>
      </c>
      <c r="G712" s="347" t="s">
        <v>2930</v>
      </c>
      <c r="H712" s="330" t="s">
        <v>1116</v>
      </c>
      <c r="I712" s="326"/>
      <c r="J712" s="326"/>
      <c r="K712" s="334">
        <f t="shared" si="10"/>
        <v>0</v>
      </c>
      <c r="L712" s="334">
        <v>0</v>
      </c>
      <c r="M712" s="334"/>
      <c r="N712" s="334">
        <v>0</v>
      </c>
      <c r="O712" s="232"/>
      <c r="P712" s="232"/>
      <c r="Q712" s="232"/>
      <c r="R712" s="232"/>
      <c r="S712" s="232"/>
      <c r="T712" s="232"/>
    </row>
    <row r="713" spans="1:20">
      <c r="A713" s="174">
        <v>330</v>
      </c>
      <c r="B713" s="326">
        <v>200</v>
      </c>
      <c r="C713" s="326">
        <v>100</v>
      </c>
      <c r="D713" s="326">
        <v>600</v>
      </c>
      <c r="E713" s="326">
        <v>10</v>
      </c>
      <c r="F713" s="326">
        <v>0</v>
      </c>
      <c r="G713" s="347" t="s">
        <v>2931</v>
      </c>
      <c r="H713" s="330" t="s">
        <v>1117</v>
      </c>
      <c r="I713" s="326"/>
      <c r="J713" s="326"/>
      <c r="K713" s="334">
        <f t="shared" si="10"/>
        <v>0</v>
      </c>
      <c r="L713" s="334">
        <v>0</v>
      </c>
      <c r="M713" s="334"/>
      <c r="N713" s="334">
        <v>0</v>
      </c>
      <c r="O713" s="232"/>
      <c r="P713" s="232"/>
      <c r="Q713" s="232"/>
      <c r="R713" s="232"/>
      <c r="S713" s="232"/>
      <c r="T713" s="232"/>
    </row>
    <row r="714" spans="1:20">
      <c r="A714" s="174">
        <v>330</v>
      </c>
      <c r="B714" s="326">
        <v>200</v>
      </c>
      <c r="C714" s="326">
        <v>100</v>
      </c>
      <c r="D714" s="326">
        <v>600</v>
      </c>
      <c r="E714" s="326">
        <v>15</v>
      </c>
      <c r="F714" s="326">
        <v>0</v>
      </c>
      <c r="G714" s="347" t="s">
        <v>2932</v>
      </c>
      <c r="H714" s="330" t="s">
        <v>1146</v>
      </c>
      <c r="I714" s="326"/>
      <c r="J714" s="326"/>
      <c r="K714" s="334">
        <f t="shared" si="10"/>
        <v>58.2</v>
      </c>
      <c r="L714" s="334">
        <v>58.2</v>
      </c>
      <c r="M714" s="334"/>
      <c r="N714" s="334">
        <v>32.4</v>
      </c>
      <c r="O714" s="232"/>
      <c r="P714" s="232"/>
      <c r="Q714" s="232"/>
      <c r="R714" s="232"/>
      <c r="S714" s="232"/>
      <c r="T714" s="232"/>
    </row>
    <row r="715" spans="1:20">
      <c r="A715" s="174">
        <v>330</v>
      </c>
      <c r="B715" s="326">
        <v>200</v>
      </c>
      <c r="C715" s="326">
        <v>100</v>
      </c>
      <c r="D715" s="326">
        <v>900</v>
      </c>
      <c r="E715" s="326">
        <v>0</v>
      </c>
      <c r="F715" s="326">
        <v>0</v>
      </c>
      <c r="G715" s="347" t="s">
        <v>2933</v>
      </c>
      <c r="H715" s="330" t="s">
        <v>1135</v>
      </c>
      <c r="I715" s="326"/>
      <c r="J715" s="326"/>
      <c r="K715" s="334">
        <f t="shared" si="10"/>
        <v>203883.94</v>
      </c>
      <c r="L715" s="334">
        <v>203883.94</v>
      </c>
      <c r="M715" s="334"/>
      <c r="N715" s="334">
        <v>185536.48</v>
      </c>
      <c r="O715" s="232"/>
      <c r="P715" s="232"/>
      <c r="Q715" s="232"/>
      <c r="R715" s="232"/>
      <c r="S715" s="232"/>
      <c r="T715" s="232"/>
    </row>
    <row r="716" spans="1:20" ht="25.5">
      <c r="A716" s="174">
        <v>330</v>
      </c>
      <c r="B716" s="326">
        <v>200</v>
      </c>
      <c r="C716" s="326">
        <v>101</v>
      </c>
      <c r="D716" s="326">
        <v>0</v>
      </c>
      <c r="E716" s="326">
        <v>0</v>
      </c>
      <c r="F716" s="326">
        <v>0</v>
      </c>
      <c r="G716" s="347" t="s">
        <v>2305</v>
      </c>
      <c r="H716" s="331" t="s">
        <v>2306</v>
      </c>
      <c r="I716" s="326" t="s">
        <v>1184</v>
      </c>
      <c r="J716" s="325"/>
      <c r="K716" s="335">
        <f t="shared" si="10"/>
        <v>0</v>
      </c>
      <c r="L716" s="335">
        <v>0</v>
      </c>
      <c r="M716" s="335"/>
      <c r="N716" s="335">
        <v>0</v>
      </c>
      <c r="O716" s="232"/>
      <c r="P716" s="232"/>
      <c r="Q716" s="232"/>
      <c r="R716" s="232"/>
      <c r="S716" s="232"/>
      <c r="T716" s="232"/>
    </row>
    <row r="717" spans="1:20">
      <c r="A717" s="174">
        <v>330</v>
      </c>
      <c r="B717" s="326">
        <v>200</v>
      </c>
      <c r="C717" s="326">
        <v>101</v>
      </c>
      <c r="D717" s="326">
        <v>100</v>
      </c>
      <c r="E717" s="326">
        <v>0</v>
      </c>
      <c r="F717" s="326">
        <v>0</v>
      </c>
      <c r="G717" s="347" t="s">
        <v>2307</v>
      </c>
      <c r="H717" s="330" t="s">
        <v>1107</v>
      </c>
      <c r="I717" s="326"/>
      <c r="J717" s="325"/>
      <c r="K717" s="336">
        <f t="shared" si="10"/>
        <v>1969106.73</v>
      </c>
      <c r="L717" s="336">
        <v>1969106.73</v>
      </c>
      <c r="M717" s="336"/>
      <c r="N717" s="336">
        <v>1854789.89</v>
      </c>
      <c r="O717" s="232"/>
      <c r="P717" s="232"/>
      <c r="Q717" s="232"/>
      <c r="R717" s="232"/>
      <c r="S717" s="232"/>
      <c r="T717" s="232"/>
    </row>
    <row r="718" spans="1:20">
      <c r="A718" s="174">
        <v>330</v>
      </c>
      <c r="B718" s="326">
        <v>200</v>
      </c>
      <c r="C718" s="326">
        <v>101</v>
      </c>
      <c r="D718" s="326">
        <v>200</v>
      </c>
      <c r="E718" s="326">
        <v>0</v>
      </c>
      <c r="F718" s="326">
        <v>0</v>
      </c>
      <c r="G718" s="347" t="s">
        <v>2308</v>
      </c>
      <c r="H718" s="330" t="s">
        <v>1143</v>
      </c>
      <c r="I718" s="326"/>
      <c r="J718" s="325"/>
      <c r="K718" s="336">
        <f t="shared" si="10"/>
        <v>22337.58</v>
      </c>
      <c r="L718" s="336">
        <v>22337.58</v>
      </c>
      <c r="M718" s="336"/>
      <c r="N718" s="336">
        <v>24139.18</v>
      </c>
      <c r="O718" s="232"/>
      <c r="P718" s="232"/>
      <c r="Q718" s="232"/>
      <c r="R718" s="232"/>
      <c r="S718" s="232"/>
      <c r="T718" s="232"/>
    </row>
    <row r="719" spans="1:20">
      <c r="A719" s="174">
        <v>330</v>
      </c>
      <c r="B719" s="326">
        <v>200</v>
      </c>
      <c r="C719" s="326">
        <v>101</v>
      </c>
      <c r="D719" s="326">
        <v>300</v>
      </c>
      <c r="E719" s="326">
        <v>0</v>
      </c>
      <c r="F719" s="326">
        <v>0</v>
      </c>
      <c r="G719" s="347" t="s">
        <v>2309</v>
      </c>
      <c r="H719" s="330" t="s">
        <v>1144</v>
      </c>
      <c r="I719" s="326"/>
      <c r="J719" s="325"/>
      <c r="K719" s="336">
        <f t="shared" si="10"/>
        <v>13281.99</v>
      </c>
      <c r="L719" s="336">
        <v>13281.99</v>
      </c>
      <c r="M719" s="336"/>
      <c r="N719" s="336">
        <v>13576.53</v>
      </c>
      <c r="O719" s="232"/>
      <c r="P719" s="232"/>
      <c r="Q719" s="232"/>
      <c r="R719" s="232"/>
      <c r="S719" s="232"/>
      <c r="T719" s="232"/>
    </row>
    <row r="720" spans="1:20">
      <c r="A720" s="174">
        <v>330</v>
      </c>
      <c r="B720" s="326">
        <v>200</v>
      </c>
      <c r="C720" s="326">
        <v>101</v>
      </c>
      <c r="D720" s="326">
        <v>301</v>
      </c>
      <c r="E720" s="326">
        <v>0</v>
      </c>
      <c r="F720" s="326">
        <v>0</v>
      </c>
      <c r="G720" s="347" t="s">
        <v>2310</v>
      </c>
      <c r="H720" s="330" t="s">
        <v>2264</v>
      </c>
      <c r="I720" s="326"/>
      <c r="J720" s="325"/>
      <c r="K720" s="336">
        <f t="shared" si="10"/>
        <v>996.09</v>
      </c>
      <c r="L720" s="336">
        <v>996.09</v>
      </c>
      <c r="M720" s="336"/>
      <c r="N720" s="336">
        <v>998.03</v>
      </c>
      <c r="O720" s="232"/>
      <c r="P720" s="232"/>
      <c r="Q720" s="232"/>
      <c r="R720" s="232"/>
      <c r="S720" s="232"/>
      <c r="T720" s="232"/>
    </row>
    <row r="721" spans="1:20">
      <c r="A721" s="174">
        <v>330</v>
      </c>
      <c r="B721" s="326">
        <v>200</v>
      </c>
      <c r="C721" s="326">
        <v>101</v>
      </c>
      <c r="D721" s="326">
        <v>302</v>
      </c>
      <c r="E721" s="326">
        <v>0</v>
      </c>
      <c r="F721" s="326">
        <v>0</v>
      </c>
      <c r="G721" s="347" t="s">
        <v>2311</v>
      </c>
      <c r="H721" s="330" t="s">
        <v>2266</v>
      </c>
      <c r="I721" s="326"/>
      <c r="J721" s="325"/>
      <c r="K721" s="336">
        <f t="shared" si="10"/>
        <v>129946.48</v>
      </c>
      <c r="L721" s="336">
        <v>129946.48</v>
      </c>
      <c r="M721" s="336"/>
      <c r="N721" s="336">
        <v>137586.81</v>
      </c>
      <c r="O721" s="232"/>
      <c r="P721" s="232"/>
      <c r="Q721" s="232"/>
      <c r="R721" s="232"/>
      <c r="S721" s="232"/>
      <c r="T721" s="232"/>
    </row>
    <row r="722" spans="1:20">
      <c r="A722" s="174">
        <v>330</v>
      </c>
      <c r="B722" s="326">
        <v>200</v>
      </c>
      <c r="C722" s="326">
        <v>101</v>
      </c>
      <c r="D722" s="326">
        <v>400</v>
      </c>
      <c r="E722" s="326">
        <v>0</v>
      </c>
      <c r="F722" s="326">
        <v>0</v>
      </c>
      <c r="G722" s="347" t="s">
        <v>2312</v>
      </c>
      <c r="H722" s="330" t="s">
        <v>1145</v>
      </c>
      <c r="I722" s="326"/>
      <c r="J722" s="325"/>
      <c r="K722" s="336">
        <f t="shared" si="10"/>
        <v>196374.79</v>
      </c>
      <c r="L722" s="336">
        <v>196374.79</v>
      </c>
      <c r="M722" s="336"/>
      <c r="N722" s="336">
        <v>160934.47</v>
      </c>
      <c r="O722" s="232"/>
      <c r="P722" s="232"/>
      <c r="Q722" s="232"/>
      <c r="R722" s="232"/>
      <c r="S722" s="232"/>
      <c r="T722" s="232"/>
    </row>
    <row r="723" spans="1:20">
      <c r="A723" s="174">
        <v>330</v>
      </c>
      <c r="B723" s="326">
        <v>200</v>
      </c>
      <c r="C723" s="326">
        <v>101</v>
      </c>
      <c r="D723" s="326">
        <v>500</v>
      </c>
      <c r="E723" s="326">
        <v>0</v>
      </c>
      <c r="F723" s="326">
        <v>0</v>
      </c>
      <c r="G723" s="347" t="s">
        <v>2313</v>
      </c>
      <c r="H723" s="330" t="s">
        <v>1132</v>
      </c>
      <c r="I723" s="326"/>
      <c r="J723" s="325"/>
      <c r="K723" s="336">
        <f t="shared" si="10"/>
        <v>246744.15</v>
      </c>
      <c r="L723" s="336">
        <v>246744.15</v>
      </c>
      <c r="M723" s="336"/>
      <c r="N723" s="336">
        <v>194423.71</v>
      </c>
      <c r="O723" s="232"/>
      <c r="P723" s="232"/>
      <c r="Q723" s="232"/>
      <c r="R723" s="232"/>
      <c r="S723" s="232"/>
      <c r="T723" s="232"/>
    </row>
    <row r="724" spans="1:20">
      <c r="A724" s="174">
        <v>330</v>
      </c>
      <c r="B724" s="326">
        <v>200</v>
      </c>
      <c r="C724" s="326">
        <v>101</v>
      </c>
      <c r="D724" s="326">
        <v>600</v>
      </c>
      <c r="E724" s="326">
        <v>0</v>
      </c>
      <c r="F724" s="326">
        <v>0</v>
      </c>
      <c r="G724" s="347" t="s">
        <v>2314</v>
      </c>
      <c r="H724" s="330" t="s">
        <v>1115</v>
      </c>
      <c r="I724" s="326"/>
      <c r="J724" s="325"/>
      <c r="K724" s="336">
        <f t="shared" si="10"/>
        <v>0</v>
      </c>
      <c r="L724" s="336">
        <v>0</v>
      </c>
      <c r="M724" s="336"/>
      <c r="N724" s="336">
        <v>0</v>
      </c>
      <c r="O724" s="232"/>
      <c r="P724" s="232"/>
      <c r="Q724" s="232"/>
      <c r="R724" s="232"/>
      <c r="S724" s="232"/>
      <c r="T724" s="232"/>
    </row>
    <row r="725" spans="1:20">
      <c r="A725" s="174">
        <v>330</v>
      </c>
      <c r="B725" s="326">
        <v>200</v>
      </c>
      <c r="C725" s="326">
        <v>101</v>
      </c>
      <c r="D725" s="326">
        <v>600</v>
      </c>
      <c r="E725" s="326">
        <v>5</v>
      </c>
      <c r="F725" s="326">
        <v>0</v>
      </c>
      <c r="G725" s="347" t="s">
        <v>2315</v>
      </c>
      <c r="H725" s="330" t="s">
        <v>1116</v>
      </c>
      <c r="I725" s="326"/>
      <c r="J725" s="325"/>
      <c r="K725" s="336">
        <f t="shared" si="10"/>
        <v>0</v>
      </c>
      <c r="L725" s="336">
        <v>0</v>
      </c>
      <c r="M725" s="336"/>
      <c r="N725" s="336">
        <v>0</v>
      </c>
      <c r="O725" s="232"/>
      <c r="P725" s="232"/>
      <c r="Q725" s="232"/>
      <c r="R725" s="232"/>
      <c r="S725" s="232"/>
      <c r="T725" s="232"/>
    </row>
    <row r="726" spans="1:20">
      <c r="A726" s="174">
        <v>330</v>
      </c>
      <c r="B726" s="326">
        <v>200</v>
      </c>
      <c r="C726" s="326">
        <v>101</v>
      </c>
      <c r="D726" s="326">
        <v>600</v>
      </c>
      <c r="E726" s="326">
        <v>10</v>
      </c>
      <c r="F726" s="326">
        <v>0</v>
      </c>
      <c r="G726" s="347" t="s">
        <v>2316</v>
      </c>
      <c r="H726" s="330" t="s">
        <v>1117</v>
      </c>
      <c r="I726" s="326"/>
      <c r="J726" s="325"/>
      <c r="K726" s="336">
        <f t="shared" si="10"/>
        <v>0</v>
      </c>
      <c r="L726" s="336">
        <v>0</v>
      </c>
      <c r="M726" s="336"/>
      <c r="N726" s="336">
        <v>0</v>
      </c>
      <c r="O726" s="232"/>
      <c r="P726" s="232"/>
      <c r="Q726" s="232"/>
      <c r="R726" s="232"/>
      <c r="S726" s="232"/>
      <c r="T726" s="232"/>
    </row>
    <row r="727" spans="1:20">
      <c r="A727" s="174">
        <v>330</v>
      </c>
      <c r="B727" s="326">
        <v>200</v>
      </c>
      <c r="C727" s="326">
        <v>101</v>
      </c>
      <c r="D727" s="326">
        <v>600</v>
      </c>
      <c r="E727" s="326">
        <v>15</v>
      </c>
      <c r="F727" s="326">
        <v>0</v>
      </c>
      <c r="G727" s="347" t="s">
        <v>2317</v>
      </c>
      <c r="H727" s="330" t="s">
        <v>1146</v>
      </c>
      <c r="I727" s="326"/>
      <c r="J727" s="325"/>
      <c r="K727" s="336">
        <f t="shared" si="10"/>
        <v>195.06</v>
      </c>
      <c r="L727" s="336">
        <v>195.06</v>
      </c>
      <c r="M727" s="336"/>
      <c r="N727" s="336">
        <v>3313.67</v>
      </c>
      <c r="O727" s="232"/>
      <c r="P727" s="232"/>
      <c r="Q727" s="232"/>
      <c r="R727" s="232"/>
      <c r="S727" s="232"/>
      <c r="T727" s="232"/>
    </row>
    <row r="728" spans="1:20">
      <c r="A728" s="174">
        <v>330</v>
      </c>
      <c r="B728" s="326">
        <v>200</v>
      </c>
      <c r="C728" s="326">
        <v>101</v>
      </c>
      <c r="D728" s="326">
        <v>900</v>
      </c>
      <c r="E728" s="326">
        <v>0</v>
      </c>
      <c r="F728" s="326">
        <v>0</v>
      </c>
      <c r="G728" s="347" t="s">
        <v>2318</v>
      </c>
      <c r="H728" s="330" t="s">
        <v>1135</v>
      </c>
      <c r="I728" s="326"/>
      <c r="J728" s="325"/>
      <c r="K728" s="336">
        <f t="shared" si="10"/>
        <v>761929.35</v>
      </c>
      <c r="L728" s="336">
        <v>761929.35</v>
      </c>
      <c r="M728" s="336"/>
      <c r="N728" s="336">
        <v>705082.01</v>
      </c>
      <c r="O728" s="232"/>
      <c r="P728" s="232"/>
      <c r="Q728" s="232"/>
      <c r="R728" s="232"/>
      <c r="S728" s="232"/>
      <c r="T728" s="232"/>
    </row>
    <row r="729" spans="1:20" ht="25.5">
      <c r="A729" s="174">
        <v>330</v>
      </c>
      <c r="B729" s="326">
        <v>200</v>
      </c>
      <c r="C729" s="326">
        <v>200</v>
      </c>
      <c r="D729" s="326">
        <v>0</v>
      </c>
      <c r="E729" s="326">
        <v>0</v>
      </c>
      <c r="F729" s="326">
        <v>0</v>
      </c>
      <c r="G729" s="331" t="s">
        <v>2934</v>
      </c>
      <c r="H729" s="331" t="s">
        <v>1185</v>
      </c>
      <c r="I729" s="326" t="s">
        <v>1186</v>
      </c>
      <c r="J729" s="325"/>
      <c r="K729" s="335">
        <f t="shared" si="10"/>
        <v>0</v>
      </c>
      <c r="L729" s="335">
        <v>0</v>
      </c>
      <c r="M729" s="335"/>
      <c r="N729" s="335">
        <v>0</v>
      </c>
      <c r="O729" s="232"/>
      <c r="P729" s="232"/>
      <c r="Q729" s="232"/>
      <c r="R729" s="232"/>
      <c r="S729" s="232"/>
      <c r="T729" s="232"/>
    </row>
    <row r="730" spans="1:20">
      <c r="A730" s="174">
        <v>330</v>
      </c>
      <c r="B730" s="326">
        <v>200</v>
      </c>
      <c r="C730" s="326">
        <v>200</v>
      </c>
      <c r="D730" s="326">
        <v>100</v>
      </c>
      <c r="E730" s="326">
        <v>0</v>
      </c>
      <c r="F730" s="326">
        <v>0</v>
      </c>
      <c r="G730" s="347" t="s">
        <v>2935</v>
      </c>
      <c r="H730" s="330" t="s">
        <v>1107</v>
      </c>
      <c r="I730" s="326"/>
      <c r="J730" s="326"/>
      <c r="K730" s="334">
        <f t="shared" si="10"/>
        <v>39415.33</v>
      </c>
      <c r="L730" s="334">
        <v>39415.33</v>
      </c>
      <c r="M730" s="334"/>
      <c r="N730" s="334">
        <v>81973.8</v>
      </c>
      <c r="O730" s="232"/>
      <c r="P730" s="232"/>
      <c r="Q730" s="232"/>
      <c r="R730" s="232"/>
      <c r="S730" s="232"/>
      <c r="T730" s="232"/>
    </row>
    <row r="731" spans="1:20">
      <c r="A731" s="174">
        <v>330</v>
      </c>
      <c r="B731" s="326">
        <v>200</v>
      </c>
      <c r="C731" s="326">
        <v>200</v>
      </c>
      <c r="D731" s="326">
        <v>200</v>
      </c>
      <c r="E731" s="326">
        <v>0</v>
      </c>
      <c r="F731" s="326">
        <v>0</v>
      </c>
      <c r="G731" s="347" t="s">
        <v>2936</v>
      </c>
      <c r="H731" s="330" t="s">
        <v>1143</v>
      </c>
      <c r="I731" s="326"/>
      <c r="J731" s="326"/>
      <c r="K731" s="334">
        <f t="shared" si="10"/>
        <v>103.44</v>
      </c>
      <c r="L731" s="334">
        <v>103.44</v>
      </c>
      <c r="M731" s="334"/>
      <c r="N731" s="334">
        <v>1031.1400000000001</v>
      </c>
      <c r="O731" s="232"/>
      <c r="P731" s="232"/>
      <c r="Q731" s="232"/>
      <c r="R731" s="232"/>
      <c r="S731" s="232"/>
      <c r="T731" s="232"/>
    </row>
    <row r="732" spans="1:20">
      <c r="A732" s="174">
        <v>330</v>
      </c>
      <c r="B732" s="326">
        <v>200</v>
      </c>
      <c r="C732" s="326">
        <v>200</v>
      </c>
      <c r="D732" s="326">
        <v>300</v>
      </c>
      <c r="E732" s="326">
        <v>0</v>
      </c>
      <c r="F732" s="326">
        <v>0</v>
      </c>
      <c r="G732" s="347" t="s">
        <v>2937</v>
      </c>
      <c r="H732" s="330" t="s">
        <v>1144</v>
      </c>
      <c r="I732" s="326"/>
      <c r="J732" s="326"/>
      <c r="K732" s="334">
        <f t="shared" si="10"/>
        <v>858.08</v>
      </c>
      <c r="L732" s="334">
        <v>858.08</v>
      </c>
      <c r="M732" s="334"/>
      <c r="N732" s="334">
        <v>85.91</v>
      </c>
      <c r="O732" s="232"/>
      <c r="P732" s="232"/>
      <c r="Q732" s="232"/>
      <c r="R732" s="232"/>
      <c r="S732" s="232"/>
      <c r="T732" s="232"/>
    </row>
    <row r="733" spans="1:20">
      <c r="A733" s="174">
        <v>330</v>
      </c>
      <c r="B733" s="326">
        <v>200</v>
      </c>
      <c r="C733" s="326">
        <v>200</v>
      </c>
      <c r="D733" s="326">
        <v>301</v>
      </c>
      <c r="E733" s="326">
        <v>0</v>
      </c>
      <c r="F733" s="326">
        <v>0</v>
      </c>
      <c r="G733" s="347" t="s">
        <v>2319</v>
      </c>
      <c r="H733" s="330" t="s">
        <v>2264</v>
      </c>
      <c r="I733" s="326"/>
      <c r="J733" s="326"/>
      <c r="K733" s="334">
        <f t="shared" si="10"/>
        <v>754.02</v>
      </c>
      <c r="L733" s="334">
        <v>754.02</v>
      </c>
      <c r="M733" s="334"/>
      <c r="N733" s="334">
        <v>3249.87</v>
      </c>
      <c r="O733" s="232"/>
      <c r="P733" s="232"/>
      <c r="Q733" s="232"/>
      <c r="R733" s="232"/>
      <c r="S733" s="232"/>
      <c r="T733" s="232"/>
    </row>
    <row r="734" spans="1:20">
      <c r="A734" s="174">
        <v>330</v>
      </c>
      <c r="B734" s="326">
        <v>200</v>
      </c>
      <c r="C734" s="326">
        <v>200</v>
      </c>
      <c r="D734" s="326">
        <v>302</v>
      </c>
      <c r="E734" s="326">
        <v>0</v>
      </c>
      <c r="F734" s="326">
        <v>0</v>
      </c>
      <c r="G734" s="347" t="s">
        <v>2320</v>
      </c>
      <c r="H734" s="330" t="s">
        <v>2266</v>
      </c>
      <c r="I734" s="326"/>
      <c r="J734" s="326"/>
      <c r="K734" s="334">
        <f t="shared" si="10"/>
        <v>790.1</v>
      </c>
      <c r="L734" s="334">
        <v>790.1</v>
      </c>
      <c r="M734" s="334"/>
      <c r="N734" s="334">
        <v>1316.06</v>
      </c>
      <c r="O734" s="232"/>
      <c r="P734" s="232"/>
      <c r="Q734" s="232"/>
      <c r="R734" s="232"/>
      <c r="S734" s="232"/>
      <c r="T734" s="232"/>
    </row>
    <row r="735" spans="1:20">
      <c r="A735" s="174">
        <v>330</v>
      </c>
      <c r="B735" s="326">
        <v>200</v>
      </c>
      <c r="C735" s="326">
        <v>200</v>
      </c>
      <c r="D735" s="326">
        <v>400</v>
      </c>
      <c r="E735" s="326">
        <v>0</v>
      </c>
      <c r="F735" s="326">
        <v>0</v>
      </c>
      <c r="G735" s="347" t="s">
        <v>2938</v>
      </c>
      <c r="H735" s="330" t="s">
        <v>1145</v>
      </c>
      <c r="I735" s="326"/>
      <c r="J735" s="326"/>
      <c r="K735" s="334">
        <f t="shared" si="10"/>
        <v>2907.48</v>
      </c>
      <c r="L735" s="334">
        <v>2907.48</v>
      </c>
      <c r="M735" s="334"/>
      <c r="N735" s="334">
        <v>3093.45</v>
      </c>
      <c r="O735" s="232"/>
      <c r="P735" s="232"/>
      <c r="Q735" s="232"/>
      <c r="R735" s="232"/>
      <c r="S735" s="232"/>
      <c r="T735" s="232"/>
    </row>
    <row r="736" spans="1:20">
      <c r="A736" s="174">
        <v>330</v>
      </c>
      <c r="B736" s="326">
        <v>200</v>
      </c>
      <c r="C736" s="326">
        <v>200</v>
      </c>
      <c r="D736" s="326">
        <v>500</v>
      </c>
      <c r="E736" s="326">
        <v>0</v>
      </c>
      <c r="F736" s="326">
        <v>0</v>
      </c>
      <c r="G736" s="347" t="s">
        <v>2939</v>
      </c>
      <c r="H736" s="330" t="s">
        <v>1132</v>
      </c>
      <c r="I736" s="326"/>
      <c r="J736" s="326"/>
      <c r="K736" s="334">
        <f t="shared" si="10"/>
        <v>293.94</v>
      </c>
      <c r="L736" s="334">
        <v>293.94</v>
      </c>
      <c r="M736" s="334"/>
      <c r="N736" s="334">
        <v>0</v>
      </c>
      <c r="O736" s="232"/>
      <c r="P736" s="232"/>
      <c r="Q736" s="232"/>
      <c r="R736" s="232"/>
      <c r="S736" s="232"/>
      <c r="T736" s="232"/>
    </row>
    <row r="737" spans="1:20">
      <c r="A737" s="174">
        <v>330</v>
      </c>
      <c r="B737" s="326">
        <v>200</v>
      </c>
      <c r="C737" s="326">
        <v>200</v>
      </c>
      <c r="D737" s="326">
        <v>600</v>
      </c>
      <c r="E737" s="326">
        <v>0</v>
      </c>
      <c r="F737" s="326">
        <v>0</v>
      </c>
      <c r="G737" s="348" t="s">
        <v>2940</v>
      </c>
      <c r="H737" s="331" t="s">
        <v>1115</v>
      </c>
      <c r="I737" s="326"/>
      <c r="J737" s="325"/>
      <c r="K737" s="335">
        <f t="shared" si="10"/>
        <v>0</v>
      </c>
      <c r="L737" s="335">
        <v>0</v>
      </c>
      <c r="M737" s="335"/>
      <c r="N737" s="335">
        <v>0</v>
      </c>
      <c r="O737" s="232"/>
      <c r="P737" s="232"/>
      <c r="Q737" s="232"/>
      <c r="R737" s="232"/>
      <c r="S737" s="232"/>
      <c r="T737" s="232"/>
    </row>
    <row r="738" spans="1:20">
      <c r="A738" s="174">
        <v>330</v>
      </c>
      <c r="B738" s="326">
        <v>200</v>
      </c>
      <c r="C738" s="326">
        <v>200</v>
      </c>
      <c r="D738" s="326">
        <v>600</v>
      </c>
      <c r="E738" s="326">
        <v>5</v>
      </c>
      <c r="F738" s="326">
        <v>0</v>
      </c>
      <c r="G738" s="347" t="s">
        <v>2941</v>
      </c>
      <c r="H738" s="330" t="s">
        <v>1116</v>
      </c>
      <c r="I738" s="326"/>
      <c r="J738" s="326"/>
      <c r="K738" s="334">
        <f t="shared" si="10"/>
        <v>0</v>
      </c>
      <c r="L738" s="334">
        <v>0</v>
      </c>
      <c r="M738" s="334"/>
      <c r="N738" s="334">
        <v>0</v>
      </c>
      <c r="O738" s="232"/>
      <c r="P738" s="232"/>
      <c r="Q738" s="232"/>
      <c r="R738" s="232"/>
      <c r="S738" s="232"/>
      <c r="T738" s="232"/>
    </row>
    <row r="739" spans="1:20">
      <c r="A739" s="174">
        <v>330</v>
      </c>
      <c r="B739" s="326">
        <v>200</v>
      </c>
      <c r="C739" s="326">
        <v>200</v>
      </c>
      <c r="D739" s="326">
        <v>600</v>
      </c>
      <c r="E739" s="326">
        <v>10</v>
      </c>
      <c r="F739" s="326">
        <v>0</v>
      </c>
      <c r="G739" s="347" t="s">
        <v>2942</v>
      </c>
      <c r="H739" s="330" t="s">
        <v>1117</v>
      </c>
      <c r="I739" s="326"/>
      <c r="J739" s="326"/>
      <c r="K739" s="334">
        <f t="shared" si="10"/>
        <v>0</v>
      </c>
      <c r="L739" s="334">
        <v>0</v>
      </c>
      <c r="M739" s="334"/>
      <c r="N739" s="334">
        <v>0</v>
      </c>
      <c r="O739" s="232"/>
      <c r="P739" s="232"/>
      <c r="Q739" s="232"/>
      <c r="R739" s="232"/>
      <c r="S739" s="232"/>
      <c r="T739" s="232"/>
    </row>
    <row r="740" spans="1:20">
      <c r="A740" s="174">
        <v>330</v>
      </c>
      <c r="B740" s="326">
        <v>200</v>
      </c>
      <c r="C740" s="326">
        <v>200</v>
      </c>
      <c r="D740" s="326">
        <v>600</v>
      </c>
      <c r="E740" s="326">
        <v>15</v>
      </c>
      <c r="F740" s="326">
        <v>0</v>
      </c>
      <c r="G740" s="347" t="s">
        <v>2943</v>
      </c>
      <c r="H740" s="330" t="s">
        <v>1146</v>
      </c>
      <c r="I740" s="326"/>
      <c r="J740" s="326"/>
      <c r="K740" s="334">
        <f t="shared" si="10"/>
        <v>6.2</v>
      </c>
      <c r="L740" s="334">
        <v>6.2</v>
      </c>
      <c r="M740" s="334"/>
      <c r="N740" s="334">
        <v>0</v>
      </c>
      <c r="O740" s="232"/>
      <c r="P740" s="232"/>
      <c r="Q740" s="232"/>
      <c r="R740" s="232"/>
      <c r="S740" s="232"/>
      <c r="T740" s="232"/>
    </row>
    <row r="741" spans="1:20">
      <c r="A741" s="174">
        <v>330</v>
      </c>
      <c r="B741" s="326">
        <v>200</v>
      </c>
      <c r="C741" s="326">
        <v>200</v>
      </c>
      <c r="D741" s="326">
        <v>900</v>
      </c>
      <c r="E741" s="326">
        <v>0</v>
      </c>
      <c r="F741" s="326">
        <v>0</v>
      </c>
      <c r="G741" s="347" t="s">
        <v>2944</v>
      </c>
      <c r="H741" s="330" t="s">
        <v>1135</v>
      </c>
      <c r="I741" s="326"/>
      <c r="J741" s="326"/>
      <c r="K741" s="334">
        <f t="shared" si="10"/>
        <v>14167.47</v>
      </c>
      <c r="L741" s="334">
        <v>14167.47</v>
      </c>
      <c r="M741" s="334"/>
      <c r="N741" s="334">
        <v>28793.73</v>
      </c>
      <c r="O741" s="232"/>
      <c r="P741" s="232"/>
      <c r="Q741" s="232"/>
      <c r="R741" s="232"/>
      <c r="S741" s="232"/>
      <c r="T741" s="232"/>
    </row>
    <row r="742" spans="1:20" ht="25.5">
      <c r="A742" s="174">
        <v>330</v>
      </c>
      <c r="B742" s="326">
        <v>200</v>
      </c>
      <c r="C742" s="326">
        <v>201</v>
      </c>
      <c r="D742" s="326">
        <v>0</v>
      </c>
      <c r="E742" s="326">
        <v>0</v>
      </c>
      <c r="F742" s="326">
        <v>0</v>
      </c>
      <c r="G742" s="347" t="s">
        <v>2321</v>
      </c>
      <c r="H742" s="331" t="s">
        <v>2322</v>
      </c>
      <c r="I742" s="326" t="s">
        <v>1186</v>
      </c>
      <c r="J742" s="326"/>
      <c r="K742" s="335">
        <f t="shared" si="10"/>
        <v>0</v>
      </c>
      <c r="L742" s="335">
        <v>0</v>
      </c>
      <c r="M742" s="335"/>
      <c r="N742" s="335">
        <v>0</v>
      </c>
      <c r="O742" s="232"/>
      <c r="P742" s="232"/>
      <c r="Q742" s="232"/>
      <c r="R742" s="232"/>
      <c r="S742" s="232"/>
      <c r="T742" s="232"/>
    </row>
    <row r="743" spans="1:20">
      <c r="A743" s="174">
        <v>330</v>
      </c>
      <c r="B743" s="326">
        <v>200</v>
      </c>
      <c r="C743" s="326">
        <v>201</v>
      </c>
      <c r="D743" s="326">
        <v>100</v>
      </c>
      <c r="E743" s="326">
        <v>0</v>
      </c>
      <c r="F743" s="326">
        <v>0</v>
      </c>
      <c r="G743" s="347" t="s">
        <v>2323</v>
      </c>
      <c r="H743" s="330" t="s">
        <v>1107</v>
      </c>
      <c r="I743" s="326"/>
      <c r="J743" s="326"/>
      <c r="K743" s="334">
        <f t="shared" si="10"/>
        <v>21578.71</v>
      </c>
      <c r="L743" s="334">
        <v>21578.71</v>
      </c>
      <c r="M743" s="334"/>
      <c r="N743" s="334">
        <v>0</v>
      </c>
      <c r="O743" s="232"/>
      <c r="P743" s="232"/>
      <c r="Q743" s="232"/>
      <c r="R743" s="232"/>
      <c r="S743" s="232"/>
      <c r="T743" s="232"/>
    </row>
    <row r="744" spans="1:20">
      <c r="A744" s="174">
        <v>330</v>
      </c>
      <c r="B744" s="326">
        <v>200</v>
      </c>
      <c r="C744" s="326">
        <v>201</v>
      </c>
      <c r="D744" s="326">
        <v>200</v>
      </c>
      <c r="E744" s="326">
        <v>0</v>
      </c>
      <c r="F744" s="326">
        <v>0</v>
      </c>
      <c r="G744" s="347" t="s">
        <v>2324</v>
      </c>
      <c r="H744" s="330" t="s">
        <v>1143</v>
      </c>
      <c r="I744" s="326"/>
      <c r="J744" s="326"/>
      <c r="K744" s="334">
        <f t="shared" si="10"/>
        <v>167.26</v>
      </c>
      <c r="L744" s="334">
        <v>167.26</v>
      </c>
      <c r="M744" s="334"/>
      <c r="N744" s="334">
        <v>0</v>
      </c>
      <c r="O744" s="232"/>
      <c r="P744" s="232"/>
      <c r="Q744" s="232"/>
      <c r="R744" s="232"/>
      <c r="S744" s="232"/>
      <c r="T744" s="232"/>
    </row>
    <row r="745" spans="1:20">
      <c r="A745" s="174">
        <v>330</v>
      </c>
      <c r="B745" s="326">
        <v>200</v>
      </c>
      <c r="C745" s="326">
        <v>201</v>
      </c>
      <c r="D745" s="326">
        <v>300</v>
      </c>
      <c r="E745" s="326">
        <v>0</v>
      </c>
      <c r="F745" s="326">
        <v>0</v>
      </c>
      <c r="G745" s="347" t="s">
        <v>2325</v>
      </c>
      <c r="H745" s="330" t="s">
        <v>1144</v>
      </c>
      <c r="I745" s="326"/>
      <c r="J745" s="326"/>
      <c r="K745" s="334">
        <f t="shared" si="10"/>
        <v>119.03</v>
      </c>
      <c r="L745" s="334">
        <v>119.03</v>
      </c>
      <c r="M745" s="334"/>
      <c r="N745" s="334">
        <v>0</v>
      </c>
      <c r="O745" s="232"/>
      <c r="P745" s="232"/>
      <c r="Q745" s="232"/>
      <c r="R745" s="232"/>
      <c r="S745" s="232"/>
      <c r="T745" s="232"/>
    </row>
    <row r="746" spans="1:20">
      <c r="A746" s="174">
        <v>330</v>
      </c>
      <c r="B746" s="326">
        <v>200</v>
      </c>
      <c r="C746" s="326">
        <v>201</v>
      </c>
      <c r="D746" s="326">
        <v>301</v>
      </c>
      <c r="E746" s="326">
        <v>0</v>
      </c>
      <c r="F746" s="326">
        <v>0</v>
      </c>
      <c r="G746" s="347" t="s">
        <v>2326</v>
      </c>
      <c r="H746" s="330" t="s">
        <v>2264</v>
      </c>
      <c r="I746" s="326"/>
      <c r="J746" s="326"/>
      <c r="K746" s="334">
        <f t="shared" si="10"/>
        <v>0</v>
      </c>
      <c r="L746" s="334">
        <v>0</v>
      </c>
      <c r="M746" s="334"/>
      <c r="N746" s="334">
        <v>0</v>
      </c>
      <c r="O746" s="232"/>
      <c r="P746" s="232"/>
      <c r="Q746" s="232"/>
      <c r="R746" s="232"/>
      <c r="S746" s="232"/>
      <c r="T746" s="232"/>
    </row>
    <row r="747" spans="1:20">
      <c r="A747" s="174">
        <v>330</v>
      </c>
      <c r="B747" s="326">
        <v>200</v>
      </c>
      <c r="C747" s="326">
        <v>201</v>
      </c>
      <c r="D747" s="326">
        <v>302</v>
      </c>
      <c r="E747" s="326">
        <v>0</v>
      </c>
      <c r="F747" s="326">
        <v>0</v>
      </c>
      <c r="G747" s="347" t="s">
        <v>2327</v>
      </c>
      <c r="H747" s="330" t="s">
        <v>2266</v>
      </c>
      <c r="I747" s="326"/>
      <c r="J747" s="326"/>
      <c r="K747" s="334">
        <f t="shared" si="10"/>
        <v>0</v>
      </c>
      <c r="L747" s="334">
        <v>0</v>
      </c>
      <c r="M747" s="334"/>
      <c r="N747" s="334">
        <v>0</v>
      </c>
      <c r="O747" s="232"/>
      <c r="P747" s="232"/>
      <c r="Q747" s="232"/>
      <c r="R747" s="232"/>
      <c r="S747" s="232"/>
      <c r="T747" s="232"/>
    </row>
    <row r="748" spans="1:20">
      <c r="A748" s="174">
        <v>330</v>
      </c>
      <c r="B748" s="326">
        <v>200</v>
      </c>
      <c r="C748" s="326">
        <v>201</v>
      </c>
      <c r="D748" s="326">
        <v>400</v>
      </c>
      <c r="E748" s="326">
        <v>0</v>
      </c>
      <c r="F748" s="326">
        <v>0</v>
      </c>
      <c r="G748" s="347" t="s">
        <v>2328</v>
      </c>
      <c r="H748" s="330" t="s">
        <v>1145</v>
      </c>
      <c r="I748" s="326"/>
      <c r="J748" s="326"/>
      <c r="K748" s="334">
        <f t="shared" si="10"/>
        <v>783.5</v>
      </c>
      <c r="L748" s="334">
        <v>783.5</v>
      </c>
      <c r="M748" s="334"/>
      <c r="N748" s="334">
        <v>0</v>
      </c>
      <c r="O748" s="232"/>
      <c r="P748" s="232"/>
      <c r="Q748" s="232"/>
      <c r="R748" s="232"/>
      <c r="S748" s="232"/>
      <c r="T748" s="232"/>
    </row>
    <row r="749" spans="1:20">
      <c r="A749" s="174">
        <v>330</v>
      </c>
      <c r="B749" s="326">
        <v>200</v>
      </c>
      <c r="C749" s="326">
        <v>201</v>
      </c>
      <c r="D749" s="326">
        <v>500</v>
      </c>
      <c r="E749" s="326">
        <v>0</v>
      </c>
      <c r="F749" s="326">
        <v>0</v>
      </c>
      <c r="G749" s="347" t="s">
        <v>2329</v>
      </c>
      <c r="H749" s="330" t="s">
        <v>1132</v>
      </c>
      <c r="I749" s="326"/>
      <c r="J749" s="326"/>
      <c r="K749" s="334">
        <f t="shared" si="10"/>
        <v>1607.68</v>
      </c>
      <c r="L749" s="334">
        <v>1607.68</v>
      </c>
      <c r="M749" s="334"/>
      <c r="N749" s="334">
        <v>0</v>
      </c>
      <c r="O749" s="232"/>
      <c r="P749" s="232"/>
      <c r="Q749" s="232"/>
      <c r="R749" s="232"/>
      <c r="S749" s="232"/>
      <c r="T749" s="232"/>
    </row>
    <row r="750" spans="1:20">
      <c r="A750" s="174">
        <v>330</v>
      </c>
      <c r="B750" s="326">
        <v>200</v>
      </c>
      <c r="C750" s="326">
        <v>201</v>
      </c>
      <c r="D750" s="326">
        <v>600</v>
      </c>
      <c r="E750" s="326">
        <v>0</v>
      </c>
      <c r="F750" s="326">
        <v>0</v>
      </c>
      <c r="G750" s="347" t="s">
        <v>2330</v>
      </c>
      <c r="H750" s="330" t="s">
        <v>1115</v>
      </c>
      <c r="I750" s="326"/>
      <c r="J750" s="326"/>
      <c r="K750" s="334">
        <f t="shared" si="10"/>
        <v>0</v>
      </c>
      <c r="L750" s="334">
        <v>0</v>
      </c>
      <c r="M750" s="334"/>
      <c r="N750" s="334">
        <v>0</v>
      </c>
      <c r="O750" s="232"/>
      <c r="P750" s="232"/>
      <c r="Q750" s="232"/>
      <c r="R750" s="232"/>
      <c r="S750" s="232"/>
      <c r="T750" s="232"/>
    </row>
    <row r="751" spans="1:20">
      <c r="A751" s="174">
        <v>330</v>
      </c>
      <c r="B751" s="326">
        <v>200</v>
      </c>
      <c r="C751" s="326">
        <v>201</v>
      </c>
      <c r="D751" s="326">
        <v>600</v>
      </c>
      <c r="E751" s="326">
        <v>5</v>
      </c>
      <c r="F751" s="326">
        <v>0</v>
      </c>
      <c r="G751" s="347" t="s">
        <v>2331</v>
      </c>
      <c r="H751" s="330" t="s">
        <v>1116</v>
      </c>
      <c r="I751" s="326"/>
      <c r="J751" s="326"/>
      <c r="K751" s="334">
        <f t="shared" si="10"/>
        <v>0</v>
      </c>
      <c r="L751" s="334">
        <v>0</v>
      </c>
      <c r="M751" s="334"/>
      <c r="N751" s="334">
        <v>0</v>
      </c>
      <c r="O751" s="232"/>
      <c r="P751" s="232"/>
      <c r="Q751" s="232"/>
      <c r="R751" s="232"/>
      <c r="S751" s="232"/>
      <c r="T751" s="232"/>
    </row>
    <row r="752" spans="1:20">
      <c r="A752" s="174">
        <v>330</v>
      </c>
      <c r="B752" s="326">
        <v>200</v>
      </c>
      <c r="C752" s="326">
        <v>201</v>
      </c>
      <c r="D752" s="326">
        <v>600</v>
      </c>
      <c r="E752" s="326">
        <v>10</v>
      </c>
      <c r="F752" s="326">
        <v>0</v>
      </c>
      <c r="G752" s="347" t="s">
        <v>2332</v>
      </c>
      <c r="H752" s="330" t="s">
        <v>1117</v>
      </c>
      <c r="I752" s="326"/>
      <c r="J752" s="326"/>
      <c r="K752" s="334">
        <f t="shared" si="10"/>
        <v>0</v>
      </c>
      <c r="L752" s="334">
        <v>0</v>
      </c>
      <c r="M752" s="334"/>
      <c r="N752" s="334">
        <v>0</v>
      </c>
      <c r="O752" s="232"/>
      <c r="P752" s="232"/>
      <c r="Q752" s="232"/>
      <c r="R752" s="232"/>
      <c r="S752" s="232"/>
      <c r="T752" s="232"/>
    </row>
    <row r="753" spans="1:20">
      <c r="A753" s="174">
        <v>330</v>
      </c>
      <c r="B753" s="326">
        <v>200</v>
      </c>
      <c r="C753" s="326">
        <v>201</v>
      </c>
      <c r="D753" s="326">
        <v>600</v>
      </c>
      <c r="E753" s="326">
        <v>15</v>
      </c>
      <c r="F753" s="326">
        <v>0</v>
      </c>
      <c r="G753" s="347" t="s">
        <v>2333</v>
      </c>
      <c r="H753" s="330" t="s">
        <v>1146</v>
      </c>
      <c r="I753" s="326"/>
      <c r="J753" s="326"/>
      <c r="K753" s="334">
        <f t="shared" si="10"/>
        <v>0</v>
      </c>
      <c r="L753" s="334">
        <v>0</v>
      </c>
      <c r="M753" s="334"/>
      <c r="N753" s="334">
        <v>0</v>
      </c>
      <c r="O753" s="232"/>
      <c r="P753" s="232"/>
      <c r="Q753" s="232"/>
      <c r="R753" s="232"/>
      <c r="S753" s="232"/>
      <c r="T753" s="232"/>
    </row>
    <row r="754" spans="1:20">
      <c r="A754" s="174">
        <v>330</v>
      </c>
      <c r="B754" s="326">
        <v>200</v>
      </c>
      <c r="C754" s="326">
        <v>201</v>
      </c>
      <c r="D754" s="326">
        <v>900</v>
      </c>
      <c r="E754" s="326">
        <v>0</v>
      </c>
      <c r="F754" s="326">
        <v>0</v>
      </c>
      <c r="G754" s="347" t="s">
        <v>2334</v>
      </c>
      <c r="H754" s="330" t="s">
        <v>1135</v>
      </c>
      <c r="I754" s="326"/>
      <c r="J754" s="326"/>
      <c r="K754" s="334">
        <f t="shared" si="10"/>
        <v>7573.49</v>
      </c>
      <c r="L754" s="334">
        <v>7573.49</v>
      </c>
      <c r="M754" s="334"/>
      <c r="N754" s="334">
        <v>0</v>
      </c>
      <c r="O754" s="232"/>
      <c r="P754" s="232"/>
      <c r="Q754" s="232"/>
      <c r="R754" s="232"/>
      <c r="S754" s="232"/>
      <c r="T754" s="232"/>
    </row>
    <row r="755" spans="1:20">
      <c r="A755" s="174">
        <v>330</v>
      </c>
      <c r="B755" s="326">
        <v>200</v>
      </c>
      <c r="C755" s="326">
        <v>300</v>
      </c>
      <c r="D755" s="326">
        <v>0</v>
      </c>
      <c r="E755" s="326">
        <v>0</v>
      </c>
      <c r="F755" s="326">
        <v>0</v>
      </c>
      <c r="G755" s="331" t="s">
        <v>2945</v>
      </c>
      <c r="H755" s="330" t="s">
        <v>1187</v>
      </c>
      <c r="I755" s="326" t="s">
        <v>1188</v>
      </c>
      <c r="J755" s="326"/>
      <c r="K755" s="334">
        <f t="shared" si="10"/>
        <v>0</v>
      </c>
      <c r="L755" s="334"/>
      <c r="M755" s="334"/>
      <c r="N755" s="334">
        <v>0</v>
      </c>
      <c r="O755" s="232"/>
      <c r="P755" s="232"/>
      <c r="Q755" s="232"/>
      <c r="R755" s="232"/>
      <c r="S755" s="232"/>
      <c r="T755" s="232"/>
    </row>
    <row r="756" spans="1:20" ht="25.5">
      <c r="A756" s="174">
        <v>330</v>
      </c>
      <c r="B756" s="326">
        <v>200</v>
      </c>
      <c r="C756" s="326">
        <v>400</v>
      </c>
      <c r="D756" s="326">
        <v>0</v>
      </c>
      <c r="E756" s="326">
        <v>0</v>
      </c>
      <c r="F756" s="326">
        <v>0</v>
      </c>
      <c r="G756" s="331" t="s">
        <v>3519</v>
      </c>
      <c r="H756" s="330" t="s">
        <v>3497</v>
      </c>
      <c r="I756" s="326" t="s">
        <v>1188</v>
      </c>
      <c r="J756" s="326"/>
      <c r="K756" s="334"/>
      <c r="L756" s="334">
        <v>0</v>
      </c>
      <c r="M756" s="334"/>
      <c r="N756" s="334">
        <v>0</v>
      </c>
      <c r="O756" s="232"/>
      <c r="P756" s="232"/>
      <c r="Q756" s="232"/>
      <c r="R756" s="232"/>
      <c r="S756" s="232"/>
      <c r="T756" s="232"/>
    </row>
    <row r="757" spans="1:20">
      <c r="A757" s="404">
        <v>335</v>
      </c>
      <c r="B757" s="405">
        <v>0</v>
      </c>
      <c r="C757" s="405">
        <v>0</v>
      </c>
      <c r="D757" s="405">
        <v>0</v>
      </c>
      <c r="E757" s="405">
        <v>0</v>
      </c>
      <c r="F757" s="405">
        <v>0</v>
      </c>
      <c r="G757" s="339">
        <v>335</v>
      </c>
      <c r="H757" s="339" t="s">
        <v>1189</v>
      </c>
      <c r="I757" s="52" t="s">
        <v>1190</v>
      </c>
      <c r="J757" s="52"/>
      <c r="K757" s="335">
        <f t="shared" si="10"/>
        <v>0</v>
      </c>
      <c r="L757" s="335">
        <v>0</v>
      </c>
      <c r="M757" s="335"/>
      <c r="N757" s="335">
        <v>0</v>
      </c>
      <c r="O757" s="232"/>
      <c r="P757" s="232"/>
      <c r="Q757" s="232"/>
      <c r="R757" s="232"/>
      <c r="S757" s="232"/>
      <c r="T757" s="232"/>
    </row>
    <row r="758" spans="1:20">
      <c r="A758" s="174">
        <v>335</v>
      </c>
      <c r="B758" s="326">
        <v>100</v>
      </c>
      <c r="C758" s="326">
        <v>0</v>
      </c>
      <c r="D758" s="326">
        <v>0</v>
      </c>
      <c r="E758" s="326">
        <v>0</v>
      </c>
      <c r="F758" s="326">
        <v>0</v>
      </c>
      <c r="G758" s="331" t="s">
        <v>2946</v>
      </c>
      <c r="H758" s="331" t="s">
        <v>1191</v>
      </c>
      <c r="I758" s="326" t="s">
        <v>1192</v>
      </c>
      <c r="J758" s="325"/>
      <c r="K758" s="335">
        <f t="shared" si="10"/>
        <v>0</v>
      </c>
      <c r="L758" s="335">
        <v>0</v>
      </c>
      <c r="M758" s="335"/>
      <c r="N758" s="335">
        <v>0</v>
      </c>
      <c r="O758" s="232"/>
      <c r="P758" s="232"/>
      <c r="Q758" s="232"/>
      <c r="R758" s="232"/>
      <c r="S758" s="232"/>
      <c r="T758" s="232"/>
    </row>
    <row r="759" spans="1:20" ht="25.5">
      <c r="A759" s="174">
        <v>335</v>
      </c>
      <c r="B759" s="326">
        <v>100</v>
      </c>
      <c r="C759" s="326">
        <v>100</v>
      </c>
      <c r="D759" s="326">
        <v>0</v>
      </c>
      <c r="E759" s="326">
        <v>0</v>
      </c>
      <c r="F759" s="326">
        <v>0</v>
      </c>
      <c r="G759" s="331" t="s">
        <v>2947</v>
      </c>
      <c r="H759" s="331" t="s">
        <v>1193</v>
      </c>
      <c r="I759" s="326" t="s">
        <v>1194</v>
      </c>
      <c r="J759" s="325"/>
      <c r="K759" s="335">
        <f t="shared" ref="K759:K822" si="12">+L759+M759</f>
        <v>0</v>
      </c>
      <c r="L759" s="335">
        <v>0</v>
      </c>
      <c r="M759" s="335"/>
      <c r="N759" s="335"/>
      <c r="O759" s="232"/>
      <c r="P759" s="232"/>
      <c r="Q759" s="232"/>
      <c r="R759" s="232"/>
      <c r="S759" s="232"/>
      <c r="T759" s="232"/>
    </row>
    <row r="760" spans="1:20">
      <c r="A760" s="174">
        <v>335</v>
      </c>
      <c r="B760" s="326">
        <v>100</v>
      </c>
      <c r="C760" s="326">
        <v>100</v>
      </c>
      <c r="D760" s="326">
        <v>100</v>
      </c>
      <c r="E760" s="326">
        <v>0</v>
      </c>
      <c r="F760" s="326">
        <v>0</v>
      </c>
      <c r="G760" s="347" t="s">
        <v>2948</v>
      </c>
      <c r="H760" s="330" t="s">
        <v>1107</v>
      </c>
      <c r="I760" s="326"/>
      <c r="J760" s="326"/>
      <c r="K760" s="334">
        <f t="shared" si="12"/>
        <v>336548.85</v>
      </c>
      <c r="L760" s="334">
        <v>336548.85</v>
      </c>
      <c r="M760" s="334"/>
      <c r="N760" s="334">
        <v>321128.07</v>
      </c>
      <c r="O760" s="232"/>
      <c r="P760" s="232"/>
      <c r="Q760" s="232"/>
      <c r="R760" s="232"/>
      <c r="S760" s="232"/>
      <c r="T760" s="232"/>
    </row>
    <row r="761" spans="1:20">
      <c r="A761" s="174">
        <v>335</v>
      </c>
      <c r="B761" s="326">
        <v>100</v>
      </c>
      <c r="C761" s="326">
        <v>100</v>
      </c>
      <c r="D761" s="326">
        <v>200</v>
      </c>
      <c r="E761" s="326">
        <v>0</v>
      </c>
      <c r="F761" s="326">
        <v>0</v>
      </c>
      <c r="G761" s="347" t="s">
        <v>2949</v>
      </c>
      <c r="H761" s="330" t="s">
        <v>1108</v>
      </c>
      <c r="I761" s="326"/>
      <c r="J761" s="326"/>
      <c r="K761" s="334">
        <f t="shared" si="12"/>
        <v>211455.77</v>
      </c>
      <c r="L761" s="334">
        <v>211455.77</v>
      </c>
      <c r="M761" s="334"/>
      <c r="N761" s="334">
        <v>122539.4</v>
      </c>
      <c r="O761" s="232"/>
      <c r="P761" s="232"/>
      <c r="Q761" s="232"/>
      <c r="R761" s="232"/>
      <c r="S761" s="232"/>
      <c r="T761" s="232"/>
    </row>
    <row r="762" spans="1:20">
      <c r="A762" s="174">
        <v>335</v>
      </c>
      <c r="B762" s="326">
        <v>100</v>
      </c>
      <c r="C762" s="326">
        <v>100</v>
      </c>
      <c r="D762" s="326">
        <v>300</v>
      </c>
      <c r="E762" s="326">
        <v>0</v>
      </c>
      <c r="F762" s="326">
        <v>0</v>
      </c>
      <c r="G762" s="347" t="s">
        <v>2950</v>
      </c>
      <c r="H762" s="330" t="s">
        <v>1131</v>
      </c>
      <c r="I762" s="326"/>
      <c r="J762" s="326"/>
      <c r="K762" s="334">
        <f t="shared" si="12"/>
        <v>49954.05</v>
      </c>
      <c r="L762" s="334">
        <v>49954.05</v>
      </c>
      <c r="M762" s="334"/>
      <c r="N762" s="334">
        <v>24537.83</v>
      </c>
      <c r="O762" s="232"/>
      <c r="P762" s="232"/>
      <c r="Q762" s="232"/>
      <c r="R762" s="232"/>
      <c r="S762" s="232"/>
      <c r="T762" s="232"/>
    </row>
    <row r="763" spans="1:20">
      <c r="A763" s="174">
        <v>335</v>
      </c>
      <c r="B763" s="326">
        <v>100</v>
      </c>
      <c r="C763" s="326">
        <v>100</v>
      </c>
      <c r="D763" s="326">
        <v>400</v>
      </c>
      <c r="E763" s="326">
        <v>0</v>
      </c>
      <c r="F763" s="326">
        <v>0</v>
      </c>
      <c r="G763" s="347" t="s">
        <v>2951</v>
      </c>
      <c r="H763" s="330" t="s">
        <v>1132</v>
      </c>
      <c r="I763" s="326"/>
      <c r="J763" s="326"/>
      <c r="K763" s="334">
        <f t="shared" si="12"/>
        <v>1579.26</v>
      </c>
      <c r="L763" s="334">
        <v>1579.26</v>
      </c>
      <c r="M763" s="334"/>
      <c r="N763" s="334">
        <v>1298.32</v>
      </c>
      <c r="O763" s="232"/>
      <c r="P763" s="232"/>
      <c r="Q763" s="232"/>
      <c r="R763" s="232"/>
      <c r="S763" s="232"/>
      <c r="T763" s="232"/>
    </row>
    <row r="764" spans="1:20">
      <c r="A764" s="174">
        <v>335</v>
      </c>
      <c r="B764" s="326">
        <v>100</v>
      </c>
      <c r="C764" s="326">
        <v>100</v>
      </c>
      <c r="D764" s="326">
        <v>500</v>
      </c>
      <c r="E764" s="326">
        <v>0</v>
      </c>
      <c r="F764" s="326">
        <v>0</v>
      </c>
      <c r="G764" s="348" t="s">
        <v>2952</v>
      </c>
      <c r="H764" s="331" t="s">
        <v>1115</v>
      </c>
      <c r="I764" s="326"/>
      <c r="J764" s="325"/>
      <c r="K764" s="335">
        <f t="shared" si="12"/>
        <v>0</v>
      </c>
      <c r="L764" s="335">
        <v>0</v>
      </c>
      <c r="M764" s="335"/>
      <c r="N764" s="335">
        <v>0</v>
      </c>
      <c r="O764" s="232"/>
      <c r="P764" s="232"/>
      <c r="Q764" s="232"/>
      <c r="R764" s="232"/>
      <c r="S764" s="232"/>
      <c r="T764" s="232"/>
    </row>
    <row r="765" spans="1:20">
      <c r="A765" s="174">
        <v>335</v>
      </c>
      <c r="B765" s="326">
        <v>100</v>
      </c>
      <c r="C765" s="326">
        <v>100</v>
      </c>
      <c r="D765" s="326">
        <v>500</v>
      </c>
      <c r="E765" s="326">
        <v>5</v>
      </c>
      <c r="F765" s="326">
        <v>0</v>
      </c>
      <c r="G765" s="347" t="s">
        <v>2953</v>
      </c>
      <c r="H765" s="330" t="s">
        <v>1116</v>
      </c>
      <c r="I765" s="326"/>
      <c r="J765" s="326"/>
      <c r="K765" s="334">
        <f t="shared" si="12"/>
        <v>0</v>
      </c>
      <c r="L765" s="334">
        <v>0</v>
      </c>
      <c r="M765" s="334"/>
      <c r="N765" s="334">
        <v>0</v>
      </c>
      <c r="O765" s="232"/>
      <c r="P765" s="232"/>
      <c r="Q765" s="232"/>
      <c r="R765" s="232"/>
      <c r="S765" s="232"/>
      <c r="T765" s="232"/>
    </row>
    <row r="766" spans="1:20">
      <c r="A766" s="174">
        <v>335</v>
      </c>
      <c r="B766" s="326">
        <v>100</v>
      </c>
      <c r="C766" s="326">
        <v>100</v>
      </c>
      <c r="D766" s="326">
        <v>500</v>
      </c>
      <c r="E766" s="326">
        <v>10</v>
      </c>
      <c r="F766" s="326">
        <v>0</v>
      </c>
      <c r="G766" s="347" t="s">
        <v>2954</v>
      </c>
      <c r="H766" s="330" t="s">
        <v>1117</v>
      </c>
      <c r="I766" s="326"/>
      <c r="J766" s="326"/>
      <c r="K766" s="334">
        <f t="shared" si="12"/>
        <v>0</v>
      </c>
      <c r="L766" s="334">
        <v>0</v>
      </c>
      <c r="M766" s="334"/>
      <c r="N766" s="334">
        <v>0</v>
      </c>
      <c r="O766" s="232"/>
      <c r="P766" s="232"/>
      <c r="Q766" s="232"/>
      <c r="R766" s="232"/>
      <c r="S766" s="232"/>
      <c r="T766" s="232"/>
    </row>
    <row r="767" spans="1:20" ht="25.5">
      <c r="A767" s="174">
        <v>335</v>
      </c>
      <c r="B767" s="326">
        <v>100</v>
      </c>
      <c r="C767" s="326">
        <v>100</v>
      </c>
      <c r="D767" s="326">
        <v>500</v>
      </c>
      <c r="E767" s="326">
        <v>15</v>
      </c>
      <c r="F767" s="326">
        <v>0</v>
      </c>
      <c r="G767" s="347" t="s">
        <v>2955</v>
      </c>
      <c r="H767" s="330" t="s">
        <v>1195</v>
      </c>
      <c r="I767" s="326"/>
      <c r="J767" s="326"/>
      <c r="K767" s="334">
        <f t="shared" si="12"/>
        <v>0</v>
      </c>
      <c r="L767" s="334">
        <v>0</v>
      </c>
      <c r="M767" s="334"/>
      <c r="N767" s="334">
        <v>0</v>
      </c>
      <c r="O767" s="232"/>
      <c r="P767" s="232"/>
      <c r="Q767" s="232"/>
      <c r="R767" s="232"/>
      <c r="S767" s="232"/>
      <c r="T767" s="232"/>
    </row>
    <row r="768" spans="1:20">
      <c r="A768" s="174">
        <v>335</v>
      </c>
      <c r="B768" s="326">
        <v>100</v>
      </c>
      <c r="C768" s="326">
        <v>100</v>
      </c>
      <c r="D768" s="326">
        <v>900</v>
      </c>
      <c r="E768" s="326">
        <v>0</v>
      </c>
      <c r="F768" s="326">
        <v>0</v>
      </c>
      <c r="G768" s="347" t="s">
        <v>2956</v>
      </c>
      <c r="H768" s="330" t="s">
        <v>1135</v>
      </c>
      <c r="I768" s="326"/>
      <c r="J768" s="326"/>
      <c r="K768" s="334">
        <f t="shared" si="12"/>
        <v>170819.36</v>
      </c>
      <c r="L768" s="334">
        <v>170819.36</v>
      </c>
      <c r="M768" s="334"/>
      <c r="N768" s="334">
        <v>133722.66</v>
      </c>
      <c r="O768" s="232"/>
      <c r="P768" s="232"/>
      <c r="Q768" s="232"/>
      <c r="R768" s="232"/>
      <c r="S768" s="232"/>
      <c r="T768" s="232"/>
    </row>
    <row r="769" spans="1:20" ht="25.5">
      <c r="A769" s="174">
        <v>335</v>
      </c>
      <c r="B769" s="326">
        <v>100</v>
      </c>
      <c r="C769" s="326">
        <v>200</v>
      </c>
      <c r="D769" s="326">
        <v>0</v>
      </c>
      <c r="E769" s="326">
        <v>0</v>
      </c>
      <c r="F769" s="326">
        <v>0</v>
      </c>
      <c r="G769" s="331" t="s">
        <v>2957</v>
      </c>
      <c r="H769" s="331" t="s">
        <v>1196</v>
      </c>
      <c r="I769" s="326" t="s">
        <v>1197</v>
      </c>
      <c r="J769" s="325"/>
      <c r="K769" s="335">
        <f t="shared" si="12"/>
        <v>0</v>
      </c>
      <c r="L769" s="335">
        <v>0</v>
      </c>
      <c r="M769" s="335"/>
      <c r="N769" s="335">
        <v>0</v>
      </c>
      <c r="O769" s="232"/>
      <c r="P769" s="232"/>
      <c r="Q769" s="232"/>
      <c r="R769" s="232"/>
      <c r="S769" s="232"/>
      <c r="T769" s="232"/>
    </row>
    <row r="770" spans="1:20">
      <c r="A770" s="174">
        <v>335</v>
      </c>
      <c r="B770" s="326">
        <v>100</v>
      </c>
      <c r="C770" s="326">
        <v>200</v>
      </c>
      <c r="D770" s="326">
        <v>100</v>
      </c>
      <c r="E770" s="326">
        <v>0</v>
      </c>
      <c r="F770" s="326">
        <v>0</v>
      </c>
      <c r="G770" s="347" t="s">
        <v>2958</v>
      </c>
      <c r="H770" s="330" t="s">
        <v>1107</v>
      </c>
      <c r="I770" s="326"/>
      <c r="J770" s="326"/>
      <c r="K770" s="334">
        <f t="shared" si="12"/>
        <v>0</v>
      </c>
      <c r="L770" s="334">
        <v>0</v>
      </c>
      <c r="M770" s="334"/>
      <c r="N770" s="334">
        <v>0</v>
      </c>
      <c r="O770" s="232"/>
      <c r="P770" s="232"/>
      <c r="Q770" s="232"/>
      <c r="R770" s="232"/>
      <c r="S770" s="232"/>
      <c r="T770" s="232"/>
    </row>
    <row r="771" spans="1:20">
      <c r="A771" s="174">
        <v>335</v>
      </c>
      <c r="B771" s="326">
        <v>100</v>
      </c>
      <c r="C771" s="326">
        <v>200</v>
      </c>
      <c r="D771" s="326">
        <v>200</v>
      </c>
      <c r="E771" s="326">
        <v>0</v>
      </c>
      <c r="F771" s="326">
        <v>0</v>
      </c>
      <c r="G771" s="347" t="s">
        <v>2959</v>
      </c>
      <c r="H771" s="330" t="s">
        <v>1108</v>
      </c>
      <c r="I771" s="326"/>
      <c r="J771" s="326"/>
      <c r="K771" s="334">
        <f t="shared" si="12"/>
        <v>0</v>
      </c>
      <c r="L771" s="334">
        <v>0</v>
      </c>
      <c r="M771" s="334"/>
      <c r="N771" s="334">
        <v>0</v>
      </c>
      <c r="O771" s="232"/>
      <c r="P771" s="232"/>
      <c r="Q771" s="232"/>
      <c r="R771" s="232"/>
      <c r="S771" s="232"/>
      <c r="T771" s="232"/>
    </row>
    <row r="772" spans="1:20">
      <c r="A772" s="174">
        <v>335</v>
      </c>
      <c r="B772" s="326">
        <v>100</v>
      </c>
      <c r="C772" s="326">
        <v>200</v>
      </c>
      <c r="D772" s="326">
        <v>300</v>
      </c>
      <c r="E772" s="326">
        <v>0</v>
      </c>
      <c r="F772" s="326">
        <v>0</v>
      </c>
      <c r="G772" s="347" t="s">
        <v>2960</v>
      </c>
      <c r="H772" s="330" t="s">
        <v>1131</v>
      </c>
      <c r="I772" s="326"/>
      <c r="J772" s="326"/>
      <c r="K772" s="334">
        <f t="shared" si="12"/>
        <v>0</v>
      </c>
      <c r="L772" s="334">
        <v>0</v>
      </c>
      <c r="M772" s="334"/>
      <c r="N772" s="334">
        <v>0</v>
      </c>
      <c r="O772" s="232"/>
      <c r="P772" s="232"/>
      <c r="Q772" s="232"/>
      <c r="R772" s="232"/>
      <c r="S772" s="232"/>
      <c r="T772" s="232"/>
    </row>
    <row r="773" spans="1:20">
      <c r="A773" s="174">
        <v>335</v>
      </c>
      <c r="B773" s="326">
        <v>100</v>
      </c>
      <c r="C773" s="326">
        <v>200</v>
      </c>
      <c r="D773" s="326">
        <v>400</v>
      </c>
      <c r="E773" s="326">
        <v>0</v>
      </c>
      <c r="F773" s="326">
        <v>0</v>
      </c>
      <c r="G773" s="347" t="s">
        <v>2961</v>
      </c>
      <c r="H773" s="330" t="s">
        <v>1132</v>
      </c>
      <c r="I773" s="326"/>
      <c r="J773" s="326"/>
      <c r="K773" s="334">
        <f t="shared" si="12"/>
        <v>0</v>
      </c>
      <c r="L773" s="334">
        <v>0</v>
      </c>
      <c r="M773" s="334"/>
      <c r="N773" s="334">
        <v>0</v>
      </c>
      <c r="O773" s="232"/>
      <c r="P773" s="232"/>
      <c r="Q773" s="232"/>
      <c r="R773" s="232"/>
      <c r="S773" s="232"/>
      <c r="T773" s="232"/>
    </row>
    <row r="774" spans="1:20">
      <c r="A774" s="174">
        <v>335</v>
      </c>
      <c r="B774" s="326">
        <v>100</v>
      </c>
      <c r="C774" s="326">
        <v>200</v>
      </c>
      <c r="D774" s="326">
        <v>500</v>
      </c>
      <c r="E774" s="326">
        <v>0</v>
      </c>
      <c r="F774" s="326">
        <v>0</v>
      </c>
      <c r="G774" s="348" t="s">
        <v>2962</v>
      </c>
      <c r="H774" s="331" t="s">
        <v>1115</v>
      </c>
      <c r="I774" s="326"/>
      <c r="J774" s="325"/>
      <c r="K774" s="335">
        <f t="shared" si="12"/>
        <v>0</v>
      </c>
      <c r="L774" s="335">
        <v>0</v>
      </c>
      <c r="M774" s="335"/>
      <c r="N774" s="335">
        <v>0</v>
      </c>
      <c r="O774" s="232"/>
      <c r="P774" s="232"/>
      <c r="Q774" s="232"/>
      <c r="R774" s="232"/>
      <c r="S774" s="232"/>
      <c r="T774" s="232"/>
    </row>
    <row r="775" spans="1:20">
      <c r="A775" s="174">
        <v>335</v>
      </c>
      <c r="B775" s="326">
        <v>100</v>
      </c>
      <c r="C775" s="326">
        <v>200</v>
      </c>
      <c r="D775" s="326">
        <v>500</v>
      </c>
      <c r="E775" s="326">
        <v>5</v>
      </c>
      <c r="F775" s="326">
        <v>0</v>
      </c>
      <c r="G775" s="347" t="s">
        <v>2963</v>
      </c>
      <c r="H775" s="330" t="s">
        <v>1116</v>
      </c>
      <c r="I775" s="326"/>
      <c r="J775" s="326"/>
      <c r="K775" s="334">
        <f t="shared" si="12"/>
        <v>0</v>
      </c>
      <c r="L775" s="334">
        <v>0</v>
      </c>
      <c r="M775" s="334"/>
      <c r="N775" s="334">
        <v>0</v>
      </c>
      <c r="O775" s="232"/>
      <c r="P775" s="232"/>
      <c r="Q775" s="232"/>
      <c r="R775" s="232"/>
      <c r="S775" s="232"/>
      <c r="T775" s="232"/>
    </row>
    <row r="776" spans="1:20">
      <c r="A776" s="174">
        <v>335</v>
      </c>
      <c r="B776" s="326">
        <v>100</v>
      </c>
      <c r="C776" s="326">
        <v>200</v>
      </c>
      <c r="D776" s="326">
        <v>500</v>
      </c>
      <c r="E776" s="326">
        <v>10</v>
      </c>
      <c r="F776" s="326">
        <v>0</v>
      </c>
      <c r="G776" s="347" t="s">
        <v>2964</v>
      </c>
      <c r="H776" s="330" t="s">
        <v>1117</v>
      </c>
      <c r="I776" s="326"/>
      <c r="J776" s="326"/>
      <c r="K776" s="334">
        <f t="shared" si="12"/>
        <v>0</v>
      </c>
      <c r="L776" s="334">
        <v>0</v>
      </c>
      <c r="M776" s="334"/>
      <c r="N776" s="334">
        <v>0</v>
      </c>
      <c r="O776" s="232"/>
      <c r="P776" s="232"/>
      <c r="Q776" s="232"/>
      <c r="R776" s="232"/>
      <c r="S776" s="232"/>
      <c r="T776" s="232"/>
    </row>
    <row r="777" spans="1:20" ht="25.5">
      <c r="A777" s="174">
        <v>335</v>
      </c>
      <c r="B777" s="326">
        <v>100</v>
      </c>
      <c r="C777" s="326">
        <v>200</v>
      </c>
      <c r="D777" s="326">
        <v>500</v>
      </c>
      <c r="E777" s="326">
        <v>15</v>
      </c>
      <c r="F777" s="326">
        <v>0</v>
      </c>
      <c r="G777" s="347" t="s">
        <v>2965</v>
      </c>
      <c r="H777" s="330" t="s">
        <v>1195</v>
      </c>
      <c r="I777" s="326"/>
      <c r="J777" s="326"/>
      <c r="K777" s="334">
        <f t="shared" si="12"/>
        <v>0</v>
      </c>
      <c r="L777" s="334">
        <v>0</v>
      </c>
      <c r="M777" s="334"/>
      <c r="N777" s="334">
        <v>0</v>
      </c>
      <c r="O777" s="232"/>
      <c r="P777" s="232"/>
      <c r="Q777" s="232"/>
      <c r="R777" s="232"/>
      <c r="S777" s="232"/>
      <c r="T777" s="232"/>
    </row>
    <row r="778" spans="1:20">
      <c r="A778" s="174">
        <v>335</v>
      </c>
      <c r="B778" s="326">
        <v>100</v>
      </c>
      <c r="C778" s="326">
        <v>200</v>
      </c>
      <c r="D778" s="326">
        <v>900</v>
      </c>
      <c r="E778" s="326">
        <v>0</v>
      </c>
      <c r="F778" s="326">
        <v>0</v>
      </c>
      <c r="G778" s="347" t="s">
        <v>2966</v>
      </c>
      <c r="H778" s="330" t="s">
        <v>1135</v>
      </c>
      <c r="I778" s="326"/>
      <c r="J778" s="326"/>
      <c r="K778" s="334">
        <f t="shared" si="12"/>
        <v>0</v>
      </c>
      <c r="L778" s="334">
        <v>0</v>
      </c>
      <c r="M778" s="334"/>
      <c r="N778" s="334">
        <v>0</v>
      </c>
      <c r="O778" s="232"/>
      <c r="P778" s="232"/>
      <c r="Q778" s="232"/>
      <c r="R778" s="232"/>
      <c r="S778" s="232"/>
      <c r="T778" s="232"/>
    </row>
    <row r="779" spans="1:20" ht="25.5">
      <c r="A779" s="174">
        <v>335</v>
      </c>
      <c r="B779" s="326">
        <v>100</v>
      </c>
      <c r="C779" s="326">
        <v>300</v>
      </c>
      <c r="D779" s="326">
        <v>0</v>
      </c>
      <c r="E779" s="326">
        <v>0</v>
      </c>
      <c r="F779" s="326">
        <v>0</v>
      </c>
      <c r="G779" s="331" t="s">
        <v>2967</v>
      </c>
      <c r="H779" s="330" t="s">
        <v>1198</v>
      </c>
      <c r="I779" s="326" t="s">
        <v>1199</v>
      </c>
      <c r="J779" s="326"/>
      <c r="K779" s="334">
        <f t="shared" si="12"/>
        <v>0</v>
      </c>
      <c r="L779" s="334">
        <v>0</v>
      </c>
      <c r="M779" s="334"/>
      <c r="N779" s="334">
        <v>0</v>
      </c>
      <c r="O779" s="232"/>
      <c r="P779" s="232"/>
      <c r="Q779" s="232"/>
      <c r="R779" s="232"/>
      <c r="S779" s="232"/>
      <c r="T779" s="232"/>
    </row>
    <row r="780" spans="1:20">
      <c r="A780" s="174">
        <v>335</v>
      </c>
      <c r="B780" s="326">
        <v>200</v>
      </c>
      <c r="C780" s="326">
        <v>0</v>
      </c>
      <c r="D780" s="326">
        <v>0</v>
      </c>
      <c r="E780" s="326">
        <v>0</v>
      </c>
      <c r="F780" s="326">
        <v>0</v>
      </c>
      <c r="G780" s="331" t="s">
        <v>2968</v>
      </c>
      <c r="H780" s="331" t="s">
        <v>1200</v>
      </c>
      <c r="I780" s="326" t="s">
        <v>1201</v>
      </c>
      <c r="J780" s="325"/>
      <c r="K780" s="335">
        <f t="shared" si="12"/>
        <v>0</v>
      </c>
      <c r="L780" s="335">
        <v>0</v>
      </c>
      <c r="M780" s="335"/>
      <c r="N780" s="335">
        <v>0</v>
      </c>
      <c r="O780" s="232"/>
      <c r="P780" s="232"/>
      <c r="Q780" s="232"/>
      <c r="R780" s="232"/>
      <c r="S780" s="232"/>
      <c r="T780" s="232"/>
    </row>
    <row r="781" spans="1:20" ht="25.5">
      <c r="A781" s="174">
        <v>335</v>
      </c>
      <c r="B781" s="326">
        <v>200</v>
      </c>
      <c r="C781" s="326">
        <v>100</v>
      </c>
      <c r="D781" s="326">
        <v>0</v>
      </c>
      <c r="E781" s="326">
        <v>0</v>
      </c>
      <c r="F781" s="326">
        <v>0</v>
      </c>
      <c r="G781" s="331" t="s">
        <v>2969</v>
      </c>
      <c r="H781" s="331" t="s">
        <v>1202</v>
      </c>
      <c r="I781" s="326" t="s">
        <v>1203</v>
      </c>
      <c r="J781" s="325"/>
      <c r="K781" s="335">
        <f t="shared" si="12"/>
        <v>0</v>
      </c>
      <c r="L781" s="335">
        <v>0</v>
      </c>
      <c r="M781" s="335"/>
      <c r="N781" s="335">
        <v>0</v>
      </c>
      <c r="O781" s="232"/>
      <c r="P781" s="232"/>
      <c r="Q781" s="232"/>
      <c r="R781" s="232"/>
      <c r="S781" s="232"/>
      <c r="T781" s="232"/>
    </row>
    <row r="782" spans="1:20">
      <c r="A782" s="174">
        <v>335</v>
      </c>
      <c r="B782" s="326">
        <v>200</v>
      </c>
      <c r="C782" s="326">
        <v>100</v>
      </c>
      <c r="D782" s="326">
        <v>100</v>
      </c>
      <c r="E782" s="326">
        <v>0</v>
      </c>
      <c r="F782" s="326">
        <v>0</v>
      </c>
      <c r="G782" s="347" t="s">
        <v>2970</v>
      </c>
      <c r="H782" s="330" t="s">
        <v>1107</v>
      </c>
      <c r="I782" s="326"/>
      <c r="J782" s="326"/>
      <c r="K782" s="334">
        <f t="shared" si="12"/>
        <v>1460834.8</v>
      </c>
      <c r="L782" s="334">
        <v>1460834.8</v>
      </c>
      <c r="M782" s="334"/>
      <c r="N782" s="334">
        <v>1295431.67</v>
      </c>
      <c r="O782" s="232"/>
      <c r="P782" s="232"/>
      <c r="Q782" s="232"/>
      <c r="R782" s="232"/>
      <c r="S782" s="232"/>
      <c r="T782" s="232"/>
    </row>
    <row r="783" spans="1:20">
      <c r="A783" s="174">
        <v>335</v>
      </c>
      <c r="B783" s="326">
        <v>200</v>
      </c>
      <c r="C783" s="326">
        <v>100</v>
      </c>
      <c r="D783" s="326">
        <v>200</v>
      </c>
      <c r="E783" s="326">
        <v>0</v>
      </c>
      <c r="F783" s="326">
        <v>0</v>
      </c>
      <c r="G783" s="347" t="s">
        <v>2971</v>
      </c>
      <c r="H783" s="330" t="s">
        <v>1143</v>
      </c>
      <c r="I783" s="326"/>
      <c r="J783" s="326"/>
      <c r="K783" s="334">
        <f t="shared" si="12"/>
        <v>2503.6799999999998</v>
      </c>
      <c r="L783" s="334">
        <v>2503.6799999999998</v>
      </c>
      <c r="M783" s="334"/>
      <c r="N783" s="334">
        <v>5095.2299999999996</v>
      </c>
      <c r="O783" s="232"/>
      <c r="P783" s="232"/>
      <c r="Q783" s="232"/>
      <c r="R783" s="232"/>
      <c r="S783" s="232"/>
      <c r="T783" s="232"/>
    </row>
    <row r="784" spans="1:20">
      <c r="A784" s="174">
        <v>335</v>
      </c>
      <c r="B784" s="326">
        <v>200</v>
      </c>
      <c r="C784" s="326">
        <v>100</v>
      </c>
      <c r="D784" s="326">
        <v>300</v>
      </c>
      <c r="E784" s="326">
        <v>0</v>
      </c>
      <c r="F784" s="326">
        <v>0</v>
      </c>
      <c r="G784" s="347" t="s">
        <v>2972</v>
      </c>
      <c r="H784" s="330" t="s">
        <v>1144</v>
      </c>
      <c r="I784" s="326"/>
      <c r="J784" s="326"/>
      <c r="K784" s="334">
        <f t="shared" si="12"/>
        <v>34678.11</v>
      </c>
      <c r="L784" s="334">
        <v>34678.11</v>
      </c>
      <c r="M784" s="334"/>
      <c r="N784" s="334">
        <v>29929.56</v>
      </c>
      <c r="O784" s="232"/>
      <c r="P784" s="232"/>
      <c r="Q784" s="232"/>
      <c r="R784" s="232"/>
      <c r="S784" s="232"/>
      <c r="T784" s="232"/>
    </row>
    <row r="785" spans="1:20">
      <c r="A785" s="174">
        <v>335</v>
      </c>
      <c r="B785" s="326">
        <v>200</v>
      </c>
      <c r="C785" s="326">
        <v>100</v>
      </c>
      <c r="D785" s="326">
        <v>301</v>
      </c>
      <c r="E785" s="326">
        <v>0</v>
      </c>
      <c r="F785" s="326">
        <v>0</v>
      </c>
      <c r="G785" s="347" t="s">
        <v>2335</v>
      </c>
      <c r="H785" s="330" t="s">
        <v>2264</v>
      </c>
      <c r="I785" s="326"/>
      <c r="J785" s="326"/>
      <c r="K785" s="334">
        <f t="shared" si="12"/>
        <v>71733.56</v>
      </c>
      <c r="L785" s="334">
        <v>71733.56</v>
      </c>
      <c r="M785" s="334"/>
      <c r="N785" s="334">
        <v>68188.72</v>
      </c>
      <c r="O785" s="232"/>
      <c r="P785" s="232"/>
      <c r="Q785" s="232"/>
      <c r="R785" s="232"/>
      <c r="S785" s="232"/>
      <c r="T785" s="232"/>
    </row>
    <row r="786" spans="1:20">
      <c r="A786" s="174">
        <v>335</v>
      </c>
      <c r="B786" s="326">
        <v>200</v>
      </c>
      <c r="C786" s="326">
        <v>100</v>
      </c>
      <c r="D786" s="326">
        <v>302</v>
      </c>
      <c r="E786" s="326">
        <v>0</v>
      </c>
      <c r="F786" s="326">
        <v>0</v>
      </c>
      <c r="G786" s="347" t="s">
        <v>2336</v>
      </c>
      <c r="H786" s="330" t="s">
        <v>2266</v>
      </c>
      <c r="I786" s="326"/>
      <c r="J786" s="326"/>
      <c r="K786" s="334">
        <f t="shared" si="12"/>
        <v>96295.51</v>
      </c>
      <c r="L786" s="334">
        <v>96295.51</v>
      </c>
      <c r="M786" s="334"/>
      <c r="N786" s="334">
        <v>117744.7</v>
      </c>
      <c r="O786" s="232"/>
      <c r="P786" s="232"/>
      <c r="Q786" s="232"/>
      <c r="R786" s="232"/>
      <c r="S786" s="232"/>
      <c r="T786" s="232"/>
    </row>
    <row r="787" spans="1:20">
      <c r="A787" s="174">
        <v>335</v>
      </c>
      <c r="B787" s="326">
        <v>200</v>
      </c>
      <c r="C787" s="326">
        <v>100</v>
      </c>
      <c r="D787" s="326">
        <v>400</v>
      </c>
      <c r="E787" s="326">
        <v>0</v>
      </c>
      <c r="F787" s="326">
        <v>0</v>
      </c>
      <c r="G787" s="347" t="s">
        <v>2973</v>
      </c>
      <c r="H787" s="330" t="s">
        <v>1145</v>
      </c>
      <c r="I787" s="326"/>
      <c r="J787" s="326"/>
      <c r="K787" s="334">
        <f t="shared" si="12"/>
        <v>80691.95</v>
      </c>
      <c r="L787" s="334">
        <v>80691.95</v>
      </c>
      <c r="M787" s="334"/>
      <c r="N787" s="334">
        <v>76108</v>
      </c>
      <c r="O787" s="232"/>
      <c r="P787" s="232"/>
      <c r="Q787" s="232"/>
      <c r="R787" s="232"/>
      <c r="S787" s="232"/>
      <c r="T787" s="232"/>
    </row>
    <row r="788" spans="1:20">
      <c r="A788" s="174">
        <v>335</v>
      </c>
      <c r="B788" s="326">
        <v>200</v>
      </c>
      <c r="C788" s="326">
        <v>100</v>
      </c>
      <c r="D788" s="326">
        <v>500</v>
      </c>
      <c r="E788" s="326">
        <v>0</v>
      </c>
      <c r="F788" s="326">
        <v>0</v>
      </c>
      <c r="G788" s="347" t="s">
        <v>2974</v>
      </c>
      <c r="H788" s="330" t="s">
        <v>1132</v>
      </c>
      <c r="I788" s="326"/>
      <c r="J788" s="326"/>
      <c r="K788" s="334">
        <f t="shared" si="12"/>
        <v>3014.43</v>
      </c>
      <c r="L788" s="334">
        <v>3014.43</v>
      </c>
      <c r="M788" s="334"/>
      <c r="N788" s="334">
        <v>2761.38</v>
      </c>
      <c r="O788" s="232"/>
      <c r="P788" s="232"/>
      <c r="Q788" s="232"/>
      <c r="R788" s="232"/>
      <c r="S788" s="232"/>
      <c r="T788" s="232"/>
    </row>
    <row r="789" spans="1:20">
      <c r="A789" s="174">
        <v>335</v>
      </c>
      <c r="B789" s="326">
        <v>200</v>
      </c>
      <c r="C789" s="326">
        <v>100</v>
      </c>
      <c r="D789" s="326">
        <v>600</v>
      </c>
      <c r="E789" s="326">
        <v>0</v>
      </c>
      <c r="F789" s="326">
        <v>0</v>
      </c>
      <c r="G789" s="348" t="s">
        <v>2975</v>
      </c>
      <c r="H789" s="331" t="s">
        <v>1115</v>
      </c>
      <c r="I789" s="326"/>
      <c r="J789" s="325"/>
      <c r="K789" s="335">
        <f t="shared" si="12"/>
        <v>0</v>
      </c>
      <c r="L789" s="335">
        <v>0</v>
      </c>
      <c r="M789" s="335"/>
      <c r="N789" s="335">
        <v>0</v>
      </c>
      <c r="O789" s="232"/>
      <c r="P789" s="232"/>
      <c r="Q789" s="232"/>
      <c r="R789" s="232"/>
      <c r="S789" s="232"/>
      <c r="T789" s="232"/>
    </row>
    <row r="790" spans="1:20">
      <c r="A790" s="174">
        <v>335</v>
      </c>
      <c r="B790" s="326">
        <v>200</v>
      </c>
      <c r="C790" s="326">
        <v>100</v>
      </c>
      <c r="D790" s="326">
        <v>600</v>
      </c>
      <c r="E790" s="326">
        <v>5</v>
      </c>
      <c r="F790" s="326">
        <v>0</v>
      </c>
      <c r="G790" s="347" t="s">
        <v>2976</v>
      </c>
      <c r="H790" s="330" t="s">
        <v>1116</v>
      </c>
      <c r="I790" s="326"/>
      <c r="J790" s="326"/>
      <c r="K790" s="334">
        <f t="shared" si="12"/>
        <v>0</v>
      </c>
      <c r="L790" s="334">
        <v>0</v>
      </c>
      <c r="M790" s="334"/>
      <c r="N790" s="334">
        <v>0</v>
      </c>
      <c r="O790" s="232"/>
      <c r="P790" s="232"/>
      <c r="Q790" s="232"/>
      <c r="R790" s="232"/>
      <c r="S790" s="232"/>
      <c r="T790" s="232"/>
    </row>
    <row r="791" spans="1:20">
      <c r="A791" s="174">
        <v>335</v>
      </c>
      <c r="B791" s="326">
        <v>200</v>
      </c>
      <c r="C791" s="326">
        <v>100</v>
      </c>
      <c r="D791" s="326">
        <v>600</v>
      </c>
      <c r="E791" s="326">
        <v>10</v>
      </c>
      <c r="F791" s="326">
        <v>0</v>
      </c>
      <c r="G791" s="347" t="s">
        <v>2977</v>
      </c>
      <c r="H791" s="330" t="s">
        <v>1117</v>
      </c>
      <c r="I791" s="326"/>
      <c r="J791" s="326"/>
      <c r="K791" s="334">
        <f t="shared" si="12"/>
        <v>0</v>
      </c>
      <c r="L791" s="334">
        <v>0</v>
      </c>
      <c r="M791" s="334"/>
      <c r="N791" s="334">
        <v>0</v>
      </c>
      <c r="O791" s="232"/>
      <c r="P791" s="232"/>
      <c r="Q791" s="232"/>
      <c r="R791" s="232"/>
      <c r="S791" s="232"/>
      <c r="T791" s="232"/>
    </row>
    <row r="792" spans="1:20">
      <c r="A792" s="174">
        <v>335</v>
      </c>
      <c r="B792" s="326">
        <v>200</v>
      </c>
      <c r="C792" s="326">
        <v>100</v>
      </c>
      <c r="D792" s="326">
        <v>600</v>
      </c>
      <c r="E792" s="326">
        <v>15</v>
      </c>
      <c r="F792" s="326">
        <v>0</v>
      </c>
      <c r="G792" s="347" t="s">
        <v>2978</v>
      </c>
      <c r="H792" s="330" t="s">
        <v>1146</v>
      </c>
      <c r="I792" s="326"/>
      <c r="J792" s="326"/>
      <c r="K792" s="334">
        <f t="shared" si="12"/>
        <v>0</v>
      </c>
      <c r="L792" s="334">
        <v>0</v>
      </c>
      <c r="M792" s="334"/>
      <c r="N792" s="334">
        <v>3727.68</v>
      </c>
      <c r="O792" s="232"/>
      <c r="P792" s="232"/>
      <c r="Q792" s="232"/>
      <c r="R792" s="232"/>
      <c r="S792" s="232"/>
      <c r="T792" s="232"/>
    </row>
    <row r="793" spans="1:20">
      <c r="A793" s="174">
        <v>335</v>
      </c>
      <c r="B793" s="326">
        <v>200</v>
      </c>
      <c r="C793" s="326">
        <v>100</v>
      </c>
      <c r="D793" s="326">
        <v>900</v>
      </c>
      <c r="E793" s="326">
        <v>0</v>
      </c>
      <c r="F793" s="326">
        <v>0</v>
      </c>
      <c r="G793" s="347" t="s">
        <v>2979</v>
      </c>
      <c r="H793" s="330" t="s">
        <v>1135</v>
      </c>
      <c r="I793" s="326"/>
      <c r="J793" s="326"/>
      <c r="K793" s="334">
        <f t="shared" si="12"/>
        <v>518805.42</v>
      </c>
      <c r="L793" s="334">
        <v>518805.42</v>
      </c>
      <c r="M793" s="334"/>
      <c r="N793" s="334">
        <v>469327.86</v>
      </c>
      <c r="O793" s="232"/>
      <c r="P793" s="232"/>
      <c r="Q793" s="232"/>
      <c r="R793" s="232"/>
      <c r="S793" s="232"/>
      <c r="T793" s="232"/>
    </row>
    <row r="794" spans="1:20" ht="25.5">
      <c r="A794" s="174">
        <v>335</v>
      </c>
      <c r="B794" s="326">
        <v>200</v>
      </c>
      <c r="C794" s="326">
        <v>200</v>
      </c>
      <c r="D794" s="326">
        <v>0</v>
      </c>
      <c r="E794" s="326">
        <v>0</v>
      </c>
      <c r="F794" s="326">
        <v>0</v>
      </c>
      <c r="G794" s="331" t="s">
        <v>2980</v>
      </c>
      <c r="H794" s="331" t="s">
        <v>1204</v>
      </c>
      <c r="I794" s="326" t="s">
        <v>1205</v>
      </c>
      <c r="J794" s="325"/>
      <c r="K794" s="335">
        <f t="shared" si="12"/>
        <v>0</v>
      </c>
      <c r="L794" s="335">
        <v>0</v>
      </c>
      <c r="M794" s="335"/>
      <c r="N794" s="335">
        <v>0</v>
      </c>
      <c r="O794" s="232"/>
      <c r="P794" s="232"/>
      <c r="Q794" s="232"/>
      <c r="R794" s="232"/>
      <c r="S794" s="232"/>
      <c r="T794" s="232"/>
    </row>
    <row r="795" spans="1:20">
      <c r="A795" s="174">
        <v>335</v>
      </c>
      <c r="B795" s="326">
        <v>200</v>
      </c>
      <c r="C795" s="326">
        <v>200</v>
      </c>
      <c r="D795" s="326">
        <v>100</v>
      </c>
      <c r="E795" s="326">
        <v>0</v>
      </c>
      <c r="F795" s="326">
        <v>0</v>
      </c>
      <c r="G795" s="347" t="s">
        <v>2981</v>
      </c>
      <c r="H795" s="330" t="s">
        <v>1107</v>
      </c>
      <c r="I795" s="326"/>
      <c r="J795" s="326"/>
      <c r="K795" s="334">
        <f t="shared" si="12"/>
        <v>321224.71999999997</v>
      </c>
      <c r="L795" s="334">
        <v>321224.71999999997</v>
      </c>
      <c r="M795" s="334"/>
      <c r="N795" s="334">
        <v>458316.43</v>
      </c>
      <c r="O795" s="232"/>
      <c r="P795" s="232"/>
      <c r="Q795" s="232"/>
      <c r="R795" s="232"/>
      <c r="S795" s="232"/>
      <c r="T795" s="232"/>
    </row>
    <row r="796" spans="1:20">
      <c r="A796" s="174">
        <v>335</v>
      </c>
      <c r="B796" s="326">
        <v>200</v>
      </c>
      <c r="C796" s="326">
        <v>200</v>
      </c>
      <c r="D796" s="326">
        <v>200</v>
      </c>
      <c r="E796" s="326">
        <v>0</v>
      </c>
      <c r="F796" s="326">
        <v>0</v>
      </c>
      <c r="G796" s="347" t="s">
        <v>2982</v>
      </c>
      <c r="H796" s="330" t="s">
        <v>1143</v>
      </c>
      <c r="I796" s="326"/>
      <c r="J796" s="326"/>
      <c r="K796" s="334">
        <f t="shared" si="12"/>
        <v>914.09</v>
      </c>
      <c r="L796" s="334">
        <v>914.09</v>
      </c>
      <c r="M796" s="334"/>
      <c r="N796" s="334">
        <v>2430.08</v>
      </c>
      <c r="O796" s="232"/>
      <c r="P796" s="232"/>
      <c r="Q796" s="232"/>
      <c r="R796" s="232"/>
      <c r="S796" s="232"/>
      <c r="T796" s="232"/>
    </row>
    <row r="797" spans="1:20">
      <c r="A797" s="174">
        <v>335</v>
      </c>
      <c r="B797" s="326">
        <v>200</v>
      </c>
      <c r="C797" s="326">
        <v>200</v>
      </c>
      <c r="D797" s="326">
        <v>300</v>
      </c>
      <c r="E797" s="326">
        <v>0</v>
      </c>
      <c r="F797" s="326">
        <v>0</v>
      </c>
      <c r="G797" s="347" t="s">
        <v>2983</v>
      </c>
      <c r="H797" s="330" t="s">
        <v>1144</v>
      </c>
      <c r="I797" s="326"/>
      <c r="J797" s="326"/>
      <c r="K797" s="334">
        <f t="shared" si="12"/>
        <v>8851.4699999999993</v>
      </c>
      <c r="L797" s="334">
        <v>8851.4699999999993</v>
      </c>
      <c r="M797" s="334"/>
      <c r="N797" s="334">
        <v>11566.32</v>
      </c>
      <c r="O797" s="232"/>
      <c r="P797" s="232"/>
      <c r="Q797" s="232"/>
      <c r="R797" s="232"/>
      <c r="S797" s="232"/>
      <c r="T797" s="232"/>
    </row>
    <row r="798" spans="1:20">
      <c r="A798" s="174">
        <v>335</v>
      </c>
      <c r="B798" s="326">
        <v>200</v>
      </c>
      <c r="C798" s="326">
        <v>200</v>
      </c>
      <c r="D798" s="326">
        <v>301</v>
      </c>
      <c r="E798" s="326">
        <v>0</v>
      </c>
      <c r="F798" s="326">
        <v>0</v>
      </c>
      <c r="G798" s="347" t="s">
        <v>2337</v>
      </c>
      <c r="H798" s="330" t="s">
        <v>2264</v>
      </c>
      <c r="I798" s="326"/>
      <c r="J798" s="326"/>
      <c r="K798" s="334">
        <f t="shared" si="12"/>
        <v>7205.9</v>
      </c>
      <c r="L798" s="334">
        <v>7205.9</v>
      </c>
      <c r="M798" s="334"/>
      <c r="N798" s="334">
        <v>10351.1</v>
      </c>
      <c r="O798" s="232"/>
      <c r="P798" s="232"/>
      <c r="Q798" s="232"/>
      <c r="R798" s="232"/>
      <c r="S798" s="232"/>
      <c r="T798" s="232"/>
    </row>
    <row r="799" spans="1:20">
      <c r="A799" s="174">
        <v>335</v>
      </c>
      <c r="B799" s="326">
        <v>200</v>
      </c>
      <c r="C799" s="326">
        <v>200</v>
      </c>
      <c r="D799" s="326">
        <v>302</v>
      </c>
      <c r="E799" s="326">
        <v>0</v>
      </c>
      <c r="F799" s="326">
        <v>0</v>
      </c>
      <c r="G799" s="347" t="s">
        <v>2338</v>
      </c>
      <c r="H799" s="330" t="s">
        <v>2266</v>
      </c>
      <c r="I799" s="326"/>
      <c r="J799" s="326"/>
      <c r="K799" s="334">
        <f t="shared" si="12"/>
        <v>5945.04</v>
      </c>
      <c r="L799" s="334">
        <v>5945.04</v>
      </c>
      <c r="M799" s="334"/>
      <c r="N799" s="334">
        <v>8469.7000000000007</v>
      </c>
      <c r="O799" s="232"/>
      <c r="P799" s="232"/>
      <c r="Q799" s="232"/>
      <c r="R799" s="232"/>
      <c r="S799" s="232"/>
      <c r="T799" s="232"/>
    </row>
    <row r="800" spans="1:20">
      <c r="A800" s="174">
        <v>335</v>
      </c>
      <c r="B800" s="326">
        <v>200</v>
      </c>
      <c r="C800" s="326">
        <v>200</v>
      </c>
      <c r="D800" s="326">
        <v>400</v>
      </c>
      <c r="E800" s="326">
        <v>0</v>
      </c>
      <c r="F800" s="326">
        <v>0</v>
      </c>
      <c r="G800" s="347" t="s">
        <v>2984</v>
      </c>
      <c r="H800" s="330" t="s">
        <v>1145</v>
      </c>
      <c r="I800" s="326"/>
      <c r="J800" s="326"/>
      <c r="K800" s="334">
        <f t="shared" si="12"/>
        <v>18010.57</v>
      </c>
      <c r="L800" s="334">
        <v>18010.57</v>
      </c>
      <c r="M800" s="334"/>
      <c r="N800" s="334">
        <v>17855.43</v>
      </c>
      <c r="O800" s="232"/>
      <c r="P800" s="232"/>
      <c r="Q800" s="232"/>
      <c r="R800" s="232"/>
      <c r="S800" s="232"/>
      <c r="T800" s="232"/>
    </row>
    <row r="801" spans="1:20">
      <c r="A801" s="174">
        <v>335</v>
      </c>
      <c r="B801" s="326">
        <v>200</v>
      </c>
      <c r="C801" s="326">
        <v>200</v>
      </c>
      <c r="D801" s="326">
        <v>500</v>
      </c>
      <c r="E801" s="326">
        <v>0</v>
      </c>
      <c r="F801" s="326">
        <v>0</v>
      </c>
      <c r="G801" s="347" t="s">
        <v>2985</v>
      </c>
      <c r="H801" s="330" t="s">
        <v>1132</v>
      </c>
      <c r="I801" s="326"/>
      <c r="J801" s="326"/>
      <c r="K801" s="334">
        <f t="shared" si="12"/>
        <v>1720.17</v>
      </c>
      <c r="L801" s="334">
        <v>1720.17</v>
      </c>
      <c r="M801" s="334"/>
      <c r="N801" s="334">
        <v>1644.06</v>
      </c>
      <c r="O801" s="232"/>
      <c r="P801" s="232"/>
      <c r="Q801" s="232"/>
      <c r="R801" s="232"/>
      <c r="S801" s="232"/>
      <c r="T801" s="232"/>
    </row>
    <row r="802" spans="1:20">
      <c r="A802" s="174">
        <v>335</v>
      </c>
      <c r="B802" s="326">
        <v>200</v>
      </c>
      <c r="C802" s="326">
        <v>200</v>
      </c>
      <c r="D802" s="326">
        <v>600</v>
      </c>
      <c r="E802" s="326">
        <v>0</v>
      </c>
      <c r="F802" s="326">
        <v>0</v>
      </c>
      <c r="G802" s="348" t="s">
        <v>2986</v>
      </c>
      <c r="H802" s="331" t="s">
        <v>1115</v>
      </c>
      <c r="I802" s="326"/>
      <c r="J802" s="325"/>
      <c r="K802" s="335">
        <f t="shared" si="12"/>
        <v>0</v>
      </c>
      <c r="L802" s="335">
        <v>0</v>
      </c>
      <c r="M802" s="335"/>
      <c r="N802" s="335">
        <v>0</v>
      </c>
      <c r="O802" s="232"/>
      <c r="P802" s="232"/>
      <c r="Q802" s="232"/>
      <c r="R802" s="232"/>
      <c r="S802" s="232"/>
      <c r="T802" s="232"/>
    </row>
    <row r="803" spans="1:20">
      <c r="A803" s="174">
        <v>335</v>
      </c>
      <c r="B803" s="326">
        <v>200</v>
      </c>
      <c r="C803" s="326">
        <v>200</v>
      </c>
      <c r="D803" s="326">
        <v>600</v>
      </c>
      <c r="E803" s="326">
        <v>5</v>
      </c>
      <c r="F803" s="326">
        <v>0</v>
      </c>
      <c r="G803" s="347" t="s">
        <v>2987</v>
      </c>
      <c r="H803" s="330" t="s">
        <v>1116</v>
      </c>
      <c r="I803" s="326"/>
      <c r="J803" s="326"/>
      <c r="K803" s="334">
        <f t="shared" si="12"/>
        <v>0</v>
      </c>
      <c r="L803" s="334">
        <v>0</v>
      </c>
      <c r="M803" s="334"/>
      <c r="N803" s="334">
        <v>0</v>
      </c>
      <c r="O803" s="232"/>
      <c r="P803" s="232"/>
      <c r="Q803" s="232"/>
      <c r="R803" s="232"/>
      <c r="S803" s="232"/>
      <c r="T803" s="232"/>
    </row>
    <row r="804" spans="1:20">
      <c r="A804" s="174">
        <v>335</v>
      </c>
      <c r="B804" s="326">
        <v>200</v>
      </c>
      <c r="C804" s="326">
        <v>200</v>
      </c>
      <c r="D804" s="326">
        <v>600</v>
      </c>
      <c r="E804" s="326">
        <v>10</v>
      </c>
      <c r="F804" s="326">
        <v>0</v>
      </c>
      <c r="G804" s="347" t="s">
        <v>2988</v>
      </c>
      <c r="H804" s="330" t="s">
        <v>1117</v>
      </c>
      <c r="I804" s="326"/>
      <c r="J804" s="326"/>
      <c r="K804" s="334">
        <f t="shared" si="12"/>
        <v>0</v>
      </c>
      <c r="L804" s="334">
        <v>0</v>
      </c>
      <c r="M804" s="334"/>
      <c r="N804" s="334">
        <v>0</v>
      </c>
      <c r="O804" s="232"/>
      <c r="P804" s="232"/>
      <c r="Q804" s="232"/>
      <c r="R804" s="232"/>
      <c r="S804" s="232"/>
      <c r="T804" s="232"/>
    </row>
    <row r="805" spans="1:20">
      <c r="A805" s="174">
        <v>335</v>
      </c>
      <c r="B805" s="326">
        <v>200</v>
      </c>
      <c r="C805" s="326">
        <v>200</v>
      </c>
      <c r="D805" s="326">
        <v>600</v>
      </c>
      <c r="E805" s="326">
        <v>15</v>
      </c>
      <c r="F805" s="326">
        <v>0</v>
      </c>
      <c r="G805" s="347" t="s">
        <v>2989</v>
      </c>
      <c r="H805" s="330" t="s">
        <v>1146</v>
      </c>
      <c r="I805" s="326"/>
      <c r="J805" s="326"/>
      <c r="K805" s="334">
        <f t="shared" si="12"/>
        <v>0</v>
      </c>
      <c r="L805" s="334">
        <v>0</v>
      </c>
      <c r="M805" s="334"/>
      <c r="N805" s="334">
        <v>0</v>
      </c>
      <c r="O805" s="232"/>
      <c r="P805" s="232"/>
      <c r="Q805" s="232"/>
      <c r="R805" s="232"/>
      <c r="S805" s="232"/>
      <c r="T805" s="232"/>
    </row>
    <row r="806" spans="1:20">
      <c r="A806" s="174">
        <v>335</v>
      </c>
      <c r="B806" s="326">
        <v>200</v>
      </c>
      <c r="C806" s="326">
        <v>200</v>
      </c>
      <c r="D806" s="326">
        <v>900</v>
      </c>
      <c r="E806" s="326">
        <v>0</v>
      </c>
      <c r="F806" s="326">
        <v>0</v>
      </c>
      <c r="G806" s="347" t="s">
        <v>2990</v>
      </c>
      <c r="H806" s="330" t="s">
        <v>1135</v>
      </c>
      <c r="I806" s="326"/>
      <c r="J806" s="326"/>
      <c r="K806" s="334">
        <f t="shared" si="12"/>
        <v>112132.23</v>
      </c>
      <c r="L806" s="334">
        <v>112132.23</v>
      </c>
      <c r="M806" s="334"/>
      <c r="N806" s="334">
        <v>157867.16</v>
      </c>
      <c r="O806" s="232"/>
      <c r="P806" s="232"/>
      <c r="Q806" s="232"/>
      <c r="R806" s="232"/>
      <c r="S806" s="232"/>
      <c r="T806" s="232"/>
    </row>
    <row r="807" spans="1:20" ht="25.5">
      <c r="A807" s="174">
        <v>335</v>
      </c>
      <c r="B807" s="326">
        <v>200</v>
      </c>
      <c r="C807" s="326">
        <v>300</v>
      </c>
      <c r="D807" s="326">
        <v>0</v>
      </c>
      <c r="E807" s="326">
        <v>0</v>
      </c>
      <c r="F807" s="326">
        <v>0</v>
      </c>
      <c r="G807" s="331" t="s">
        <v>2991</v>
      </c>
      <c r="H807" s="330" t="s">
        <v>1206</v>
      </c>
      <c r="I807" s="326" t="s">
        <v>1207</v>
      </c>
      <c r="J807" s="326"/>
      <c r="K807" s="334">
        <f t="shared" si="12"/>
        <v>0</v>
      </c>
      <c r="L807" s="334">
        <v>0</v>
      </c>
      <c r="M807" s="334"/>
      <c r="N807" s="334">
        <v>0</v>
      </c>
      <c r="O807" s="232"/>
      <c r="P807" s="232"/>
      <c r="Q807" s="232"/>
      <c r="R807" s="232"/>
      <c r="S807" s="232"/>
      <c r="T807" s="232"/>
    </row>
    <row r="808" spans="1:20">
      <c r="A808" s="404">
        <v>340</v>
      </c>
      <c r="B808" s="405">
        <v>0</v>
      </c>
      <c r="C808" s="405">
        <v>0</v>
      </c>
      <c r="D808" s="405">
        <v>0</v>
      </c>
      <c r="E808" s="405">
        <v>0</v>
      </c>
      <c r="F808" s="405">
        <v>0</v>
      </c>
      <c r="G808" s="339">
        <v>340</v>
      </c>
      <c r="H808" s="339" t="s">
        <v>67</v>
      </c>
      <c r="I808" s="52" t="s">
        <v>1208</v>
      </c>
      <c r="J808" s="52"/>
      <c r="K808" s="335">
        <f t="shared" si="12"/>
        <v>0</v>
      </c>
      <c r="L808" s="335">
        <v>0</v>
      </c>
      <c r="M808" s="335"/>
      <c r="N808" s="335">
        <v>0</v>
      </c>
      <c r="O808" s="232"/>
      <c r="P808" s="232"/>
      <c r="Q808" s="232"/>
      <c r="R808" s="232"/>
      <c r="S808" s="232"/>
      <c r="T808" s="232"/>
    </row>
    <row r="809" spans="1:20">
      <c r="A809" s="174">
        <v>340</v>
      </c>
      <c r="B809" s="326">
        <v>100</v>
      </c>
      <c r="C809" s="326">
        <v>0</v>
      </c>
      <c r="D809" s="326">
        <v>0</v>
      </c>
      <c r="E809" s="326">
        <v>0</v>
      </c>
      <c r="F809" s="326">
        <v>0</v>
      </c>
      <c r="G809" s="331" t="s">
        <v>2992</v>
      </c>
      <c r="H809" s="331" t="s">
        <v>1209</v>
      </c>
      <c r="I809" s="326" t="s">
        <v>1210</v>
      </c>
      <c r="J809" s="325"/>
      <c r="K809" s="335">
        <f t="shared" si="12"/>
        <v>0</v>
      </c>
      <c r="L809" s="335">
        <v>0</v>
      </c>
      <c r="M809" s="335"/>
      <c r="N809" s="335">
        <v>0</v>
      </c>
      <c r="O809" s="232"/>
      <c r="P809" s="232"/>
      <c r="Q809" s="232"/>
      <c r="R809" s="232"/>
      <c r="S809" s="232"/>
      <c r="T809" s="232"/>
    </row>
    <row r="810" spans="1:20">
      <c r="A810" s="174">
        <v>340</v>
      </c>
      <c r="B810" s="326">
        <v>100</v>
      </c>
      <c r="C810" s="326">
        <v>100</v>
      </c>
      <c r="D810" s="326">
        <v>0</v>
      </c>
      <c r="E810" s="326">
        <v>0</v>
      </c>
      <c r="F810" s="326">
        <v>0</v>
      </c>
      <c r="G810" s="330" t="s">
        <v>2993</v>
      </c>
      <c r="H810" s="330" t="s">
        <v>1211</v>
      </c>
      <c r="I810" s="326"/>
      <c r="J810" s="326"/>
      <c r="K810" s="341">
        <f t="shared" si="12"/>
        <v>200</v>
      </c>
      <c r="L810" s="341">
        <v>200</v>
      </c>
      <c r="M810" s="341"/>
      <c r="N810" s="341">
        <v>0</v>
      </c>
      <c r="O810" s="232"/>
      <c r="P810" s="232"/>
      <c r="Q810" s="232"/>
      <c r="R810" s="232"/>
      <c r="S810" s="232"/>
      <c r="T810" s="232"/>
    </row>
    <row r="811" spans="1:20">
      <c r="A811" s="174">
        <v>340</v>
      </c>
      <c r="B811" s="326">
        <v>100</v>
      </c>
      <c r="C811" s="326">
        <v>200</v>
      </c>
      <c r="D811" s="326">
        <v>0</v>
      </c>
      <c r="E811" s="326">
        <v>0</v>
      </c>
      <c r="F811" s="326">
        <v>0</v>
      </c>
      <c r="G811" s="330" t="s">
        <v>2994</v>
      </c>
      <c r="H811" s="330" t="s">
        <v>1212</v>
      </c>
      <c r="I811" s="326"/>
      <c r="J811" s="326"/>
      <c r="K811" s="341">
        <f t="shared" si="12"/>
        <v>20384.64</v>
      </c>
      <c r="L811" s="341">
        <v>20384.64</v>
      </c>
      <c r="M811" s="341"/>
      <c r="N811" s="341">
        <v>19756.669999999998</v>
      </c>
      <c r="O811" s="232"/>
      <c r="P811" s="232"/>
      <c r="Q811" s="232"/>
      <c r="R811" s="232"/>
      <c r="S811" s="232"/>
      <c r="T811" s="232"/>
    </row>
    <row r="812" spans="1:20">
      <c r="A812" s="174">
        <v>340</v>
      </c>
      <c r="B812" s="326">
        <v>100</v>
      </c>
      <c r="C812" s="326">
        <v>300</v>
      </c>
      <c r="D812" s="326">
        <v>0</v>
      </c>
      <c r="E812" s="326">
        <v>0</v>
      </c>
      <c r="F812" s="326">
        <v>0</v>
      </c>
      <c r="G812" s="330" t="s">
        <v>2995</v>
      </c>
      <c r="H812" s="330" t="s">
        <v>1213</v>
      </c>
      <c r="I812" s="326"/>
      <c r="J812" s="326"/>
      <c r="K812" s="341">
        <f t="shared" si="12"/>
        <v>0</v>
      </c>
      <c r="L812" s="341">
        <v>0</v>
      </c>
      <c r="M812" s="341"/>
      <c r="N812" s="341">
        <v>0</v>
      </c>
      <c r="O812" s="232"/>
      <c r="P812" s="232"/>
      <c r="Q812" s="232"/>
      <c r="R812" s="232"/>
      <c r="S812" s="232"/>
      <c r="T812" s="232"/>
    </row>
    <row r="813" spans="1:20">
      <c r="A813" s="174">
        <v>340</v>
      </c>
      <c r="B813" s="326">
        <v>100</v>
      </c>
      <c r="C813" s="326">
        <v>400</v>
      </c>
      <c r="D813" s="326">
        <v>0</v>
      </c>
      <c r="E813" s="326">
        <v>0</v>
      </c>
      <c r="F813" s="326">
        <v>0</v>
      </c>
      <c r="G813" s="330" t="s">
        <v>2996</v>
      </c>
      <c r="H813" s="330" t="s">
        <v>1214</v>
      </c>
      <c r="I813" s="326"/>
      <c r="J813" s="326"/>
      <c r="K813" s="341">
        <f t="shared" si="12"/>
        <v>109483.69</v>
      </c>
      <c r="L813" s="341">
        <v>109483.69</v>
      </c>
      <c r="M813" s="341"/>
      <c r="N813" s="341">
        <v>120253</v>
      </c>
      <c r="O813" s="232"/>
      <c r="P813" s="232"/>
      <c r="Q813" s="232"/>
      <c r="R813" s="232"/>
      <c r="S813" s="232"/>
      <c r="T813" s="232"/>
    </row>
    <row r="814" spans="1:20">
      <c r="A814" s="174">
        <v>340</v>
      </c>
      <c r="B814" s="326">
        <v>100</v>
      </c>
      <c r="C814" s="326">
        <v>500</v>
      </c>
      <c r="D814" s="326">
        <v>0</v>
      </c>
      <c r="E814" s="326">
        <v>0</v>
      </c>
      <c r="F814" s="326">
        <v>0</v>
      </c>
      <c r="G814" s="330" t="s">
        <v>2997</v>
      </c>
      <c r="H814" s="330" t="s">
        <v>1215</v>
      </c>
      <c r="I814" s="326"/>
      <c r="J814" s="326"/>
      <c r="K814" s="341">
        <f t="shared" si="12"/>
        <v>0</v>
      </c>
      <c r="L814" s="341">
        <v>0</v>
      </c>
      <c r="M814" s="341"/>
      <c r="N814" s="341">
        <v>0</v>
      </c>
      <c r="O814" s="232"/>
      <c r="P814" s="232"/>
      <c r="Q814" s="232"/>
      <c r="R814" s="232"/>
      <c r="S814" s="232"/>
      <c r="T814" s="232"/>
    </row>
    <row r="815" spans="1:20">
      <c r="A815" s="174">
        <v>340</v>
      </c>
      <c r="B815" s="326">
        <v>100</v>
      </c>
      <c r="C815" s="326">
        <v>600</v>
      </c>
      <c r="D815" s="326">
        <v>0</v>
      </c>
      <c r="E815" s="326">
        <v>0</v>
      </c>
      <c r="F815" s="326">
        <v>0</v>
      </c>
      <c r="G815" s="330" t="s">
        <v>2998</v>
      </c>
      <c r="H815" s="330" t="s">
        <v>1216</v>
      </c>
      <c r="I815" s="326"/>
      <c r="J815" s="326"/>
      <c r="K815" s="341">
        <f t="shared" si="12"/>
        <v>0</v>
      </c>
      <c r="L815" s="341">
        <v>0</v>
      </c>
      <c r="M815" s="341"/>
      <c r="N815" s="341">
        <v>0</v>
      </c>
      <c r="O815" s="232"/>
      <c r="P815" s="232"/>
      <c r="Q815" s="232"/>
      <c r="R815" s="232"/>
      <c r="S815" s="232"/>
      <c r="T815" s="232"/>
    </row>
    <row r="816" spans="1:20">
      <c r="A816" s="174">
        <v>340</v>
      </c>
      <c r="B816" s="326">
        <v>100</v>
      </c>
      <c r="C816" s="326">
        <v>900</v>
      </c>
      <c r="D816" s="326">
        <v>0</v>
      </c>
      <c r="E816" s="326">
        <v>0</v>
      </c>
      <c r="F816" s="326">
        <v>0</v>
      </c>
      <c r="G816" s="330" t="s">
        <v>2999</v>
      </c>
      <c r="H816" s="330" t="s">
        <v>1217</v>
      </c>
      <c r="I816" s="326"/>
      <c r="J816" s="326"/>
      <c r="K816" s="341">
        <f t="shared" si="12"/>
        <v>22735</v>
      </c>
      <c r="L816" s="341">
        <v>22735</v>
      </c>
      <c r="M816" s="341"/>
      <c r="N816" s="341">
        <v>14228.45</v>
      </c>
      <c r="O816" s="232"/>
      <c r="P816" s="232"/>
      <c r="Q816" s="232"/>
      <c r="R816" s="232"/>
      <c r="S816" s="232"/>
      <c r="T816" s="232"/>
    </row>
    <row r="817" spans="1:20">
      <c r="A817" s="174">
        <v>340</v>
      </c>
      <c r="B817" s="326">
        <v>200</v>
      </c>
      <c r="C817" s="326">
        <v>0</v>
      </c>
      <c r="D817" s="326">
        <v>0</v>
      </c>
      <c r="E817" s="326">
        <v>0</v>
      </c>
      <c r="F817" s="326">
        <v>0</v>
      </c>
      <c r="G817" s="331" t="s">
        <v>3000</v>
      </c>
      <c r="H817" s="330" t="s">
        <v>1218</v>
      </c>
      <c r="I817" s="326" t="s">
        <v>1219</v>
      </c>
      <c r="J817" s="326"/>
      <c r="K817" s="341">
        <f t="shared" si="12"/>
        <v>0</v>
      </c>
      <c r="L817" s="341">
        <v>0</v>
      </c>
      <c r="M817" s="341"/>
      <c r="N817" s="341">
        <v>0</v>
      </c>
      <c r="O817" s="232"/>
      <c r="P817" s="232"/>
      <c r="Q817" s="232"/>
      <c r="R817" s="232"/>
      <c r="S817" s="232"/>
      <c r="T817" s="232"/>
    </row>
    <row r="818" spans="1:20">
      <c r="A818" s="174">
        <v>340</v>
      </c>
      <c r="B818" s="326">
        <v>300</v>
      </c>
      <c r="C818" s="326">
        <v>0</v>
      </c>
      <c r="D818" s="326">
        <v>0</v>
      </c>
      <c r="E818" s="326">
        <v>0</v>
      </c>
      <c r="F818" s="326">
        <v>0</v>
      </c>
      <c r="G818" s="331" t="s">
        <v>3001</v>
      </c>
      <c r="H818" s="331" t="s">
        <v>1220</v>
      </c>
      <c r="I818" s="326" t="s">
        <v>1221</v>
      </c>
      <c r="J818" s="325"/>
      <c r="K818" s="335">
        <f t="shared" si="12"/>
        <v>0</v>
      </c>
      <c r="L818" s="335">
        <v>0</v>
      </c>
      <c r="M818" s="335"/>
      <c r="N818" s="335">
        <v>0</v>
      </c>
      <c r="O818" s="232"/>
      <c r="P818" s="232"/>
      <c r="Q818" s="232"/>
      <c r="R818" s="232"/>
      <c r="S818" s="232"/>
      <c r="T818" s="232"/>
    </row>
    <row r="819" spans="1:20" ht="25.5">
      <c r="A819" s="174">
        <v>340</v>
      </c>
      <c r="B819" s="326">
        <v>300</v>
      </c>
      <c r="C819" s="326">
        <v>100</v>
      </c>
      <c r="D819" s="326">
        <v>0</v>
      </c>
      <c r="E819" s="326">
        <v>0</v>
      </c>
      <c r="F819" s="326">
        <v>0</v>
      </c>
      <c r="G819" s="331" t="s">
        <v>3002</v>
      </c>
      <c r="H819" s="331" t="s">
        <v>1222</v>
      </c>
      <c r="I819" s="326" t="s">
        <v>1223</v>
      </c>
      <c r="J819" s="325"/>
      <c r="K819" s="335">
        <f t="shared" si="12"/>
        <v>0</v>
      </c>
      <c r="L819" s="335">
        <v>0</v>
      </c>
      <c r="M819" s="335"/>
      <c r="N819" s="335">
        <v>0</v>
      </c>
      <c r="O819" s="232"/>
      <c r="P819" s="232"/>
      <c r="Q819" s="232"/>
      <c r="R819" s="232"/>
      <c r="S819" s="232"/>
      <c r="T819" s="232"/>
    </row>
    <row r="820" spans="1:20">
      <c r="A820" s="174">
        <v>340</v>
      </c>
      <c r="B820" s="326">
        <v>300</v>
      </c>
      <c r="C820" s="326">
        <v>100</v>
      </c>
      <c r="D820" s="326">
        <v>100</v>
      </c>
      <c r="E820" s="326">
        <v>0</v>
      </c>
      <c r="F820" s="326">
        <v>0</v>
      </c>
      <c r="G820" s="331" t="s">
        <v>3003</v>
      </c>
      <c r="H820" s="331" t="s">
        <v>1224</v>
      </c>
      <c r="I820" s="326"/>
      <c r="J820" s="325"/>
      <c r="K820" s="335">
        <f t="shared" si="12"/>
        <v>0</v>
      </c>
      <c r="L820" s="335">
        <v>0</v>
      </c>
      <c r="M820" s="335"/>
      <c r="N820" s="335">
        <v>0</v>
      </c>
      <c r="O820" s="232"/>
      <c r="P820" s="232"/>
      <c r="Q820" s="232"/>
      <c r="R820" s="232"/>
      <c r="S820" s="232"/>
      <c r="T820" s="232"/>
    </row>
    <row r="821" spans="1:20">
      <c r="A821" s="174">
        <v>340</v>
      </c>
      <c r="B821" s="326">
        <v>300</v>
      </c>
      <c r="C821" s="326">
        <v>100</v>
      </c>
      <c r="D821" s="326">
        <v>100</v>
      </c>
      <c r="E821" s="326">
        <v>10</v>
      </c>
      <c r="F821" s="326">
        <v>0</v>
      </c>
      <c r="G821" s="330" t="s">
        <v>3004</v>
      </c>
      <c r="H821" s="330" t="s">
        <v>1225</v>
      </c>
      <c r="I821" s="326"/>
      <c r="J821" s="326"/>
      <c r="K821" s="341">
        <f t="shared" si="12"/>
        <v>604800</v>
      </c>
      <c r="L821" s="341">
        <v>604800</v>
      </c>
      <c r="M821" s="341"/>
      <c r="N821" s="341">
        <v>607824.52</v>
      </c>
      <c r="O821" s="232"/>
      <c r="P821" s="232"/>
      <c r="Q821" s="232"/>
      <c r="R821" s="232"/>
      <c r="S821" s="232"/>
      <c r="T821" s="232"/>
    </row>
    <row r="822" spans="1:20">
      <c r="A822" s="174">
        <v>340</v>
      </c>
      <c r="B822" s="326">
        <v>300</v>
      </c>
      <c r="C822" s="326">
        <v>100</v>
      </c>
      <c r="D822" s="326">
        <v>100</v>
      </c>
      <c r="E822" s="326">
        <v>30</v>
      </c>
      <c r="F822" s="326">
        <v>0</v>
      </c>
      <c r="G822" s="330" t="s">
        <v>3005</v>
      </c>
      <c r="H822" s="330" t="s">
        <v>634</v>
      </c>
      <c r="I822" s="326"/>
      <c r="J822" s="326"/>
      <c r="K822" s="341">
        <f t="shared" si="12"/>
        <v>105279.09</v>
      </c>
      <c r="L822" s="341">
        <v>105279.09</v>
      </c>
      <c r="M822" s="341"/>
      <c r="N822" s="341">
        <v>105780.96</v>
      </c>
      <c r="O822" s="232"/>
      <c r="P822" s="232"/>
      <c r="Q822" s="232"/>
      <c r="R822" s="232"/>
      <c r="S822" s="232"/>
      <c r="T822" s="232"/>
    </row>
    <row r="823" spans="1:20">
      <c r="A823" s="174">
        <v>340</v>
      </c>
      <c r="B823" s="326">
        <v>300</v>
      </c>
      <c r="C823" s="326">
        <v>100</v>
      </c>
      <c r="D823" s="326">
        <v>100</v>
      </c>
      <c r="E823" s="326">
        <v>90</v>
      </c>
      <c r="F823" s="326">
        <v>0</v>
      </c>
      <c r="G823" s="330" t="s">
        <v>3006</v>
      </c>
      <c r="H823" s="330" t="s">
        <v>1226</v>
      </c>
      <c r="I823" s="326"/>
      <c r="J823" s="326"/>
      <c r="K823" s="341">
        <f t="shared" ref="K823:K886" si="13">+L823+M823</f>
        <v>0</v>
      </c>
      <c r="L823" s="341">
        <v>0</v>
      </c>
      <c r="M823" s="341"/>
      <c r="N823" s="341">
        <v>882.83</v>
      </c>
      <c r="O823" s="232"/>
      <c r="P823" s="232"/>
      <c r="Q823" s="232"/>
      <c r="R823" s="232"/>
      <c r="S823" s="232"/>
      <c r="T823" s="232"/>
    </row>
    <row r="824" spans="1:20">
      <c r="A824" s="174">
        <v>340</v>
      </c>
      <c r="B824" s="326">
        <v>300</v>
      </c>
      <c r="C824" s="326">
        <v>100</v>
      </c>
      <c r="D824" s="326">
        <v>200</v>
      </c>
      <c r="E824" s="326">
        <v>0</v>
      </c>
      <c r="F824" s="326">
        <v>0</v>
      </c>
      <c r="G824" s="331" t="s">
        <v>3007</v>
      </c>
      <c r="H824" s="331" t="s">
        <v>1227</v>
      </c>
      <c r="I824" s="326"/>
      <c r="J824" s="325"/>
      <c r="K824" s="335">
        <f t="shared" si="13"/>
        <v>0</v>
      </c>
      <c r="L824" s="335">
        <v>0</v>
      </c>
      <c r="M824" s="335"/>
      <c r="N824" s="335">
        <v>0</v>
      </c>
      <c r="O824" s="232"/>
      <c r="P824" s="232"/>
      <c r="Q824" s="232"/>
      <c r="R824" s="232"/>
      <c r="S824" s="232"/>
      <c r="T824" s="232"/>
    </row>
    <row r="825" spans="1:20">
      <c r="A825" s="174">
        <v>340</v>
      </c>
      <c r="B825" s="326">
        <v>300</v>
      </c>
      <c r="C825" s="326">
        <v>100</v>
      </c>
      <c r="D825" s="326">
        <v>200</v>
      </c>
      <c r="E825" s="326">
        <v>10</v>
      </c>
      <c r="F825" s="326">
        <v>0</v>
      </c>
      <c r="G825" s="330" t="s">
        <v>3008</v>
      </c>
      <c r="H825" s="330" t="s">
        <v>1225</v>
      </c>
      <c r="I825" s="326"/>
      <c r="J825" s="326"/>
      <c r="K825" s="341">
        <f t="shared" si="13"/>
        <v>53639.08</v>
      </c>
      <c r="L825" s="341">
        <v>53639.08</v>
      </c>
      <c r="M825" s="341"/>
      <c r="N825" s="341">
        <v>51093.18</v>
      </c>
      <c r="O825" s="232"/>
      <c r="P825" s="232"/>
      <c r="Q825" s="232"/>
      <c r="R825" s="232"/>
      <c r="S825" s="232"/>
      <c r="T825" s="232"/>
    </row>
    <row r="826" spans="1:20">
      <c r="A826" s="174">
        <v>340</v>
      </c>
      <c r="B826" s="326">
        <v>300</v>
      </c>
      <c r="C826" s="326">
        <v>100</v>
      </c>
      <c r="D826" s="326">
        <v>200</v>
      </c>
      <c r="E826" s="326">
        <v>30</v>
      </c>
      <c r="F826" s="326">
        <v>0</v>
      </c>
      <c r="G826" s="330" t="s">
        <v>3009</v>
      </c>
      <c r="H826" s="330" t="s">
        <v>634</v>
      </c>
      <c r="I826" s="326"/>
      <c r="J826" s="326"/>
      <c r="K826" s="341">
        <f t="shared" si="13"/>
        <v>0</v>
      </c>
      <c r="L826" s="341">
        <v>0</v>
      </c>
      <c r="M826" s="341"/>
      <c r="N826" s="341">
        <v>0</v>
      </c>
      <c r="O826" s="232"/>
      <c r="P826" s="232"/>
      <c r="Q826" s="232"/>
      <c r="R826" s="232"/>
      <c r="S826" s="232"/>
      <c r="T826" s="232"/>
    </row>
    <row r="827" spans="1:20">
      <c r="A827" s="174">
        <v>340</v>
      </c>
      <c r="B827" s="326">
        <v>300</v>
      </c>
      <c r="C827" s="326">
        <v>100</v>
      </c>
      <c r="D827" s="326">
        <v>200</v>
      </c>
      <c r="E827" s="326">
        <v>90</v>
      </c>
      <c r="F827" s="326">
        <v>0</v>
      </c>
      <c r="G827" s="330" t="s">
        <v>3010</v>
      </c>
      <c r="H827" s="330" t="s">
        <v>1228</v>
      </c>
      <c r="I827" s="326"/>
      <c r="J827" s="326"/>
      <c r="K827" s="341">
        <f t="shared" si="13"/>
        <v>0</v>
      </c>
      <c r="L827" s="341">
        <v>0</v>
      </c>
      <c r="M827" s="341"/>
      <c r="N827" s="341">
        <v>3648.73</v>
      </c>
      <c r="O827" s="232"/>
      <c r="P827" s="232"/>
      <c r="Q827" s="232"/>
      <c r="R827" s="232"/>
      <c r="S827" s="232"/>
      <c r="T827" s="232"/>
    </row>
    <row r="828" spans="1:20">
      <c r="A828" s="174">
        <v>340</v>
      </c>
      <c r="B828" s="326">
        <v>300</v>
      </c>
      <c r="C828" s="326">
        <v>100</v>
      </c>
      <c r="D828" s="326">
        <v>300</v>
      </c>
      <c r="E828" s="326">
        <v>0</v>
      </c>
      <c r="F828" s="326">
        <v>0</v>
      </c>
      <c r="G828" s="331" t="s">
        <v>3011</v>
      </c>
      <c r="H828" s="331" t="s">
        <v>1229</v>
      </c>
      <c r="I828" s="326"/>
      <c r="J828" s="325"/>
      <c r="K828" s="335">
        <f t="shared" si="13"/>
        <v>0</v>
      </c>
      <c r="L828" s="335">
        <v>0</v>
      </c>
      <c r="M828" s="335"/>
      <c r="N828" s="335">
        <v>0</v>
      </c>
      <c r="O828" s="232"/>
      <c r="P828" s="232"/>
      <c r="Q828" s="232"/>
      <c r="R828" s="232"/>
      <c r="S828" s="232"/>
      <c r="T828" s="232"/>
    </row>
    <row r="829" spans="1:20">
      <c r="A829" s="174">
        <v>340</v>
      </c>
      <c r="B829" s="326">
        <v>300</v>
      </c>
      <c r="C829" s="326">
        <v>100</v>
      </c>
      <c r="D829" s="326">
        <v>300</v>
      </c>
      <c r="E829" s="326">
        <v>10</v>
      </c>
      <c r="F829" s="326">
        <v>0</v>
      </c>
      <c r="G829" s="330" t="s">
        <v>3012</v>
      </c>
      <c r="H829" s="330" t="s">
        <v>1225</v>
      </c>
      <c r="I829" s="326"/>
      <c r="J829" s="326"/>
      <c r="K829" s="341">
        <f t="shared" si="13"/>
        <v>12000</v>
      </c>
      <c r="L829" s="341">
        <v>12000</v>
      </c>
      <c r="M829" s="341"/>
      <c r="N829" s="341">
        <v>7500</v>
      </c>
      <c r="O829" s="232"/>
      <c r="P829" s="232"/>
      <c r="Q829" s="232"/>
      <c r="R829" s="232"/>
      <c r="S829" s="232"/>
      <c r="T829" s="232"/>
    </row>
    <row r="830" spans="1:20">
      <c r="A830" s="174">
        <v>340</v>
      </c>
      <c r="B830" s="326">
        <v>300</v>
      </c>
      <c r="C830" s="326">
        <v>100</v>
      </c>
      <c r="D830" s="326">
        <v>300</v>
      </c>
      <c r="E830" s="326">
        <v>30</v>
      </c>
      <c r="F830" s="326">
        <v>0</v>
      </c>
      <c r="G830" s="330" t="s">
        <v>3013</v>
      </c>
      <c r="H830" s="330" t="s">
        <v>634</v>
      </c>
      <c r="I830" s="326"/>
      <c r="J830" s="326"/>
      <c r="K830" s="341">
        <f t="shared" si="13"/>
        <v>1920</v>
      </c>
      <c r="L830" s="341">
        <v>1920</v>
      </c>
      <c r="M830" s="341"/>
      <c r="N830" s="341">
        <v>1200</v>
      </c>
      <c r="O830" s="232"/>
      <c r="P830" s="232"/>
      <c r="Q830" s="232"/>
      <c r="R830" s="232"/>
      <c r="S830" s="232"/>
      <c r="T830" s="232"/>
    </row>
    <row r="831" spans="1:20">
      <c r="A831" s="174">
        <v>340</v>
      </c>
      <c r="B831" s="326">
        <v>300</v>
      </c>
      <c r="C831" s="326">
        <v>100</v>
      </c>
      <c r="D831" s="326">
        <v>300</v>
      </c>
      <c r="E831" s="326">
        <v>90</v>
      </c>
      <c r="F831" s="326">
        <v>0</v>
      </c>
      <c r="G831" s="330" t="s">
        <v>3014</v>
      </c>
      <c r="H831" s="330" t="s">
        <v>1230</v>
      </c>
      <c r="I831" s="326"/>
      <c r="J831" s="326"/>
      <c r="K831" s="341">
        <f t="shared" si="13"/>
        <v>1485.4</v>
      </c>
      <c r="L831" s="341">
        <v>1485.4</v>
      </c>
      <c r="M831" s="341"/>
      <c r="N831" s="341">
        <v>925.08</v>
      </c>
      <c r="O831" s="232"/>
      <c r="P831" s="232"/>
      <c r="Q831" s="232"/>
      <c r="R831" s="232"/>
      <c r="S831" s="232"/>
      <c r="T831" s="232"/>
    </row>
    <row r="832" spans="1:20">
      <c r="A832" s="174">
        <v>340</v>
      </c>
      <c r="B832" s="326">
        <v>300</v>
      </c>
      <c r="C832" s="326">
        <v>200</v>
      </c>
      <c r="D832" s="326">
        <v>0</v>
      </c>
      <c r="E832" s="326">
        <v>0</v>
      </c>
      <c r="F832" s="326">
        <v>0</v>
      </c>
      <c r="G832" s="331" t="s">
        <v>3015</v>
      </c>
      <c r="H832" s="331" t="s">
        <v>1220</v>
      </c>
      <c r="I832" s="326" t="s">
        <v>1231</v>
      </c>
      <c r="J832" s="325"/>
      <c r="K832" s="335">
        <f t="shared" si="13"/>
        <v>0</v>
      </c>
      <c r="L832" s="335">
        <v>0</v>
      </c>
      <c r="M832" s="335"/>
      <c r="N832" s="335">
        <v>0</v>
      </c>
      <c r="O832" s="232"/>
      <c r="P832" s="232"/>
      <c r="Q832" s="232"/>
      <c r="R832" s="232"/>
      <c r="S832" s="232"/>
      <c r="T832" s="232"/>
    </row>
    <row r="833" spans="1:20">
      <c r="A833" s="174">
        <v>340</v>
      </c>
      <c r="B833" s="326">
        <v>300</v>
      </c>
      <c r="C833" s="326">
        <v>200</v>
      </c>
      <c r="D833" s="326">
        <v>100</v>
      </c>
      <c r="E833" s="326">
        <v>0</v>
      </c>
      <c r="F833" s="326">
        <v>0</v>
      </c>
      <c r="G833" s="330" t="s">
        <v>3016</v>
      </c>
      <c r="H833" s="330" t="s">
        <v>1232</v>
      </c>
      <c r="I833" s="326"/>
      <c r="J833" s="326"/>
      <c r="K833" s="341">
        <f t="shared" si="13"/>
        <v>0</v>
      </c>
      <c r="L833" s="341">
        <v>0</v>
      </c>
      <c r="M833" s="341"/>
      <c r="N833" s="341">
        <v>0</v>
      </c>
      <c r="O833" s="232"/>
      <c r="P833" s="232"/>
      <c r="Q833" s="232"/>
      <c r="R833" s="232"/>
      <c r="S833" s="232"/>
      <c r="T833" s="232"/>
    </row>
    <row r="834" spans="1:20">
      <c r="A834" s="174">
        <v>340</v>
      </c>
      <c r="B834" s="326">
        <v>300</v>
      </c>
      <c r="C834" s="326">
        <v>200</v>
      </c>
      <c r="D834" s="326">
        <v>200</v>
      </c>
      <c r="E834" s="326">
        <v>0</v>
      </c>
      <c r="F834" s="326">
        <v>0</v>
      </c>
      <c r="G834" s="330" t="s">
        <v>3456</v>
      </c>
      <c r="H834" s="330" t="s">
        <v>1233</v>
      </c>
      <c r="I834" s="326"/>
      <c r="J834" s="326"/>
      <c r="K834" s="341">
        <f t="shared" si="13"/>
        <v>0</v>
      </c>
      <c r="L834" s="341">
        <v>0</v>
      </c>
      <c r="M834" s="341"/>
      <c r="N834" s="341">
        <v>0</v>
      </c>
      <c r="O834" s="232"/>
      <c r="P834" s="232"/>
      <c r="Q834" s="232"/>
      <c r="R834" s="232"/>
      <c r="S834" s="232"/>
      <c r="T834" s="232"/>
    </row>
    <row r="835" spans="1:20">
      <c r="A835" s="174">
        <v>340</v>
      </c>
      <c r="B835" s="326">
        <v>300</v>
      </c>
      <c r="C835" s="326">
        <v>200</v>
      </c>
      <c r="D835" s="326">
        <v>900</v>
      </c>
      <c r="E835" s="326">
        <v>0</v>
      </c>
      <c r="F835" s="326">
        <v>0</v>
      </c>
      <c r="G835" s="330" t="s">
        <v>3455</v>
      </c>
      <c r="H835" s="330" t="s">
        <v>1220</v>
      </c>
      <c r="I835" s="326"/>
      <c r="J835" s="326"/>
      <c r="K835" s="341">
        <f t="shared" si="13"/>
        <v>0</v>
      </c>
      <c r="L835" s="341">
        <v>0</v>
      </c>
      <c r="M835" s="341"/>
      <c r="N835" s="341">
        <v>0</v>
      </c>
      <c r="O835" s="232"/>
      <c r="P835" s="232"/>
      <c r="Q835" s="232"/>
      <c r="R835" s="232"/>
      <c r="S835" s="232"/>
      <c r="T835" s="232"/>
    </row>
    <row r="836" spans="1:20" ht="25.5">
      <c r="A836" s="174">
        <v>340</v>
      </c>
      <c r="B836" s="326">
        <v>300</v>
      </c>
      <c r="C836" s="326">
        <v>300</v>
      </c>
      <c r="D836" s="326">
        <v>0</v>
      </c>
      <c r="E836" s="326">
        <v>0</v>
      </c>
      <c r="F836" s="326">
        <v>0</v>
      </c>
      <c r="G836" s="330" t="s">
        <v>3017</v>
      </c>
      <c r="H836" s="330" t="s">
        <v>1234</v>
      </c>
      <c r="I836" s="326" t="s">
        <v>1235</v>
      </c>
      <c r="J836" s="326" t="s">
        <v>1530</v>
      </c>
      <c r="K836" s="341">
        <f t="shared" si="13"/>
        <v>0</v>
      </c>
      <c r="L836" s="341">
        <v>0</v>
      </c>
      <c r="M836" s="341"/>
      <c r="N836" s="341">
        <v>0</v>
      </c>
      <c r="O836" s="232"/>
      <c r="P836" s="232"/>
      <c r="Q836" s="232"/>
      <c r="R836" s="232"/>
      <c r="S836" s="232"/>
      <c r="T836" s="232"/>
    </row>
    <row r="837" spans="1:20">
      <c r="A837" s="174">
        <v>340</v>
      </c>
      <c r="B837" s="326">
        <v>300</v>
      </c>
      <c r="C837" s="326">
        <v>400</v>
      </c>
      <c r="D837" s="326">
        <v>0</v>
      </c>
      <c r="E837" s="326">
        <v>0</v>
      </c>
      <c r="F837" s="326">
        <v>0</v>
      </c>
      <c r="G837" s="330" t="s">
        <v>3018</v>
      </c>
      <c r="H837" s="330" t="s">
        <v>1236</v>
      </c>
      <c r="I837" s="326" t="s">
        <v>1237</v>
      </c>
      <c r="J837" s="326"/>
      <c r="K837" s="341">
        <f t="shared" si="13"/>
        <v>0</v>
      </c>
      <c r="L837" s="341">
        <v>0</v>
      </c>
      <c r="M837" s="341"/>
      <c r="N837" s="341">
        <v>0</v>
      </c>
      <c r="O837" s="232"/>
      <c r="P837" s="232"/>
      <c r="Q837" s="232"/>
      <c r="R837" s="232"/>
      <c r="S837" s="232"/>
      <c r="T837" s="232"/>
    </row>
    <row r="838" spans="1:20">
      <c r="A838" s="404">
        <v>345</v>
      </c>
      <c r="B838" s="405">
        <v>0</v>
      </c>
      <c r="C838" s="405">
        <v>0</v>
      </c>
      <c r="D838" s="405">
        <v>0</v>
      </c>
      <c r="E838" s="405">
        <v>0</v>
      </c>
      <c r="F838" s="405">
        <v>0</v>
      </c>
      <c r="G838" s="339">
        <v>345</v>
      </c>
      <c r="H838" s="339" t="s">
        <v>1238</v>
      </c>
      <c r="I838" s="52" t="s">
        <v>1239</v>
      </c>
      <c r="J838" s="52"/>
      <c r="K838" s="335">
        <f t="shared" si="13"/>
        <v>0</v>
      </c>
      <c r="L838" s="335">
        <v>0</v>
      </c>
      <c r="M838" s="335"/>
      <c r="N838" s="335">
        <v>0</v>
      </c>
      <c r="O838" s="232"/>
      <c r="P838" s="232"/>
      <c r="Q838" s="232"/>
      <c r="R838" s="232"/>
      <c r="S838" s="232"/>
      <c r="T838" s="232"/>
    </row>
    <row r="839" spans="1:20">
      <c r="A839" s="174">
        <v>345</v>
      </c>
      <c r="B839" s="326">
        <v>100</v>
      </c>
      <c r="C839" s="326">
        <v>0</v>
      </c>
      <c r="D839" s="326">
        <v>0</v>
      </c>
      <c r="E839" s="326">
        <v>0</v>
      </c>
      <c r="F839" s="326">
        <v>0</v>
      </c>
      <c r="G839" s="330" t="s">
        <v>3019</v>
      </c>
      <c r="H839" s="330" t="s">
        <v>1240</v>
      </c>
      <c r="I839" s="326"/>
      <c r="J839" s="326"/>
      <c r="K839" s="341">
        <f t="shared" si="13"/>
        <v>0</v>
      </c>
      <c r="L839" s="341">
        <v>0</v>
      </c>
      <c r="M839" s="341"/>
      <c r="N839" s="341">
        <v>0</v>
      </c>
      <c r="O839" s="232"/>
      <c r="P839" s="232"/>
      <c r="Q839" s="232"/>
      <c r="R839" s="232"/>
      <c r="S839" s="232"/>
      <c r="T839" s="232"/>
    </row>
    <row r="840" spans="1:20">
      <c r="A840" s="174">
        <v>345</v>
      </c>
      <c r="B840" s="326">
        <v>200</v>
      </c>
      <c r="C840" s="326">
        <v>0</v>
      </c>
      <c r="D840" s="326">
        <v>0</v>
      </c>
      <c r="E840" s="326">
        <v>0</v>
      </c>
      <c r="F840" s="326">
        <v>0</v>
      </c>
      <c r="G840" s="330" t="s">
        <v>3020</v>
      </c>
      <c r="H840" s="330" t="s">
        <v>1241</v>
      </c>
      <c r="I840" s="326"/>
      <c r="J840" s="326"/>
      <c r="K840" s="341">
        <f t="shared" si="13"/>
        <v>0</v>
      </c>
      <c r="L840" s="341">
        <v>0</v>
      </c>
      <c r="M840" s="341"/>
      <c r="N840" s="341">
        <v>0</v>
      </c>
      <c r="O840" s="232"/>
      <c r="P840" s="232"/>
      <c r="Q840" s="232"/>
      <c r="R840" s="232"/>
      <c r="S840" s="232"/>
      <c r="T840" s="232"/>
    </row>
    <row r="841" spans="1:20" ht="38.25">
      <c r="A841" s="174">
        <v>345</v>
      </c>
      <c r="B841" s="326">
        <v>300</v>
      </c>
      <c r="C841" s="326">
        <v>0</v>
      </c>
      <c r="D841" s="326">
        <v>0</v>
      </c>
      <c r="E841" s="326">
        <v>0</v>
      </c>
      <c r="F841" s="326">
        <v>0</v>
      </c>
      <c r="G841" s="330" t="s">
        <v>3021</v>
      </c>
      <c r="H841" s="330" t="s">
        <v>1242</v>
      </c>
      <c r="I841" s="326"/>
      <c r="J841" s="326"/>
      <c r="K841" s="341">
        <f t="shared" si="13"/>
        <v>0</v>
      </c>
      <c r="L841" s="341">
        <v>0</v>
      </c>
      <c r="M841" s="341"/>
      <c r="N841" s="341">
        <v>0</v>
      </c>
      <c r="O841" s="232"/>
      <c r="P841" s="232"/>
      <c r="Q841" s="232"/>
      <c r="R841" s="232"/>
      <c r="S841" s="232"/>
      <c r="T841" s="232"/>
    </row>
    <row r="842" spans="1:20" ht="25.5">
      <c r="A842" s="174">
        <v>345</v>
      </c>
      <c r="B842" s="326">
        <v>400</v>
      </c>
      <c r="C842" s="326">
        <v>0</v>
      </c>
      <c r="D842" s="326">
        <v>0</v>
      </c>
      <c r="E842" s="326">
        <v>0</v>
      </c>
      <c r="F842" s="326">
        <v>0</v>
      </c>
      <c r="G842" s="330" t="s">
        <v>3022</v>
      </c>
      <c r="H842" s="330" t="s">
        <v>1243</v>
      </c>
      <c r="I842" s="326"/>
      <c r="J842" s="326"/>
      <c r="K842" s="341">
        <f t="shared" si="13"/>
        <v>0</v>
      </c>
      <c r="L842" s="341">
        <v>0</v>
      </c>
      <c r="M842" s="341"/>
      <c r="N842" s="341">
        <v>0</v>
      </c>
      <c r="O842" s="232"/>
      <c r="P842" s="232"/>
      <c r="Q842" s="232"/>
      <c r="R842" s="232"/>
      <c r="S842" s="232"/>
      <c r="T842" s="232"/>
    </row>
    <row r="843" spans="1:20" ht="25.5">
      <c r="A843" s="174">
        <v>345</v>
      </c>
      <c r="B843" s="326">
        <v>500</v>
      </c>
      <c r="C843" s="326">
        <v>0</v>
      </c>
      <c r="D843" s="326">
        <v>0</v>
      </c>
      <c r="E843" s="326">
        <v>0</v>
      </c>
      <c r="F843" s="326">
        <v>0</v>
      </c>
      <c r="G843" s="330" t="s">
        <v>3023</v>
      </c>
      <c r="H843" s="330" t="s">
        <v>1244</v>
      </c>
      <c r="I843" s="326"/>
      <c r="J843" s="326"/>
      <c r="K843" s="341">
        <f t="shared" si="13"/>
        <v>14514.34</v>
      </c>
      <c r="L843" s="341">
        <v>14514.34</v>
      </c>
      <c r="M843" s="341"/>
      <c r="N843" s="341">
        <v>15368.34</v>
      </c>
      <c r="O843" s="232"/>
      <c r="P843" s="232"/>
      <c r="Q843" s="232"/>
      <c r="R843" s="232"/>
      <c r="S843" s="232"/>
      <c r="T843" s="232"/>
    </row>
    <row r="844" spans="1:20">
      <c r="A844" s="174">
        <v>345</v>
      </c>
      <c r="B844" s="326">
        <v>600</v>
      </c>
      <c r="C844" s="326">
        <v>0</v>
      </c>
      <c r="D844" s="326">
        <v>0</v>
      </c>
      <c r="E844" s="326">
        <v>0</v>
      </c>
      <c r="F844" s="326">
        <v>0</v>
      </c>
      <c r="G844" s="330" t="s">
        <v>3024</v>
      </c>
      <c r="H844" s="330" t="s">
        <v>1245</v>
      </c>
      <c r="I844" s="326"/>
      <c r="J844" s="326"/>
      <c r="K844" s="341">
        <f t="shared" si="13"/>
        <v>0</v>
      </c>
      <c r="L844" s="341">
        <v>0</v>
      </c>
      <c r="M844" s="341"/>
      <c r="N844" s="341">
        <v>0</v>
      </c>
      <c r="O844" s="232"/>
      <c r="P844" s="232"/>
      <c r="Q844" s="232"/>
      <c r="R844" s="232"/>
      <c r="S844" s="232"/>
      <c r="T844" s="232"/>
    </row>
    <row r="845" spans="1:20">
      <c r="A845" s="174">
        <v>345</v>
      </c>
      <c r="B845" s="326">
        <v>700</v>
      </c>
      <c r="C845" s="326">
        <v>0</v>
      </c>
      <c r="D845" s="326">
        <v>0</v>
      </c>
      <c r="E845" s="326">
        <v>0</v>
      </c>
      <c r="F845" s="326">
        <v>0</v>
      </c>
      <c r="G845" s="330" t="s">
        <v>3025</v>
      </c>
      <c r="H845" s="330" t="s">
        <v>1246</v>
      </c>
      <c r="I845" s="326"/>
      <c r="J845" s="326"/>
      <c r="K845" s="341">
        <f t="shared" si="13"/>
        <v>0</v>
      </c>
      <c r="L845" s="341">
        <v>0</v>
      </c>
      <c r="M845" s="341"/>
      <c r="N845" s="341">
        <v>0</v>
      </c>
      <c r="O845" s="232"/>
      <c r="P845" s="232"/>
      <c r="Q845" s="232"/>
      <c r="R845" s="232"/>
      <c r="S845" s="232"/>
      <c r="T845" s="232"/>
    </row>
    <row r="846" spans="1:20">
      <c r="A846" s="174">
        <v>345</v>
      </c>
      <c r="B846" s="326">
        <v>900</v>
      </c>
      <c r="C846" s="326">
        <v>0</v>
      </c>
      <c r="D846" s="326">
        <v>0</v>
      </c>
      <c r="E846" s="326">
        <v>0</v>
      </c>
      <c r="F846" s="326">
        <v>0</v>
      </c>
      <c r="G846" s="330" t="s">
        <v>3026</v>
      </c>
      <c r="H846" s="330" t="s">
        <v>1247</v>
      </c>
      <c r="I846" s="326"/>
      <c r="J846" s="326"/>
      <c r="K846" s="341">
        <f t="shared" si="13"/>
        <v>0</v>
      </c>
      <c r="L846" s="341">
        <v>0</v>
      </c>
      <c r="M846" s="341"/>
      <c r="N846" s="341">
        <v>0</v>
      </c>
      <c r="O846" s="232"/>
      <c r="P846" s="232"/>
      <c r="Q846" s="232"/>
      <c r="R846" s="232"/>
      <c r="S846" s="232"/>
      <c r="T846" s="232"/>
    </row>
    <row r="847" spans="1:20">
      <c r="A847" s="404">
        <v>350</v>
      </c>
      <c r="B847" s="405">
        <v>0</v>
      </c>
      <c r="C847" s="405">
        <v>0</v>
      </c>
      <c r="D847" s="405">
        <v>0</v>
      </c>
      <c r="E847" s="405">
        <v>0</v>
      </c>
      <c r="F847" s="405">
        <v>0</v>
      </c>
      <c r="G847" s="339">
        <v>350</v>
      </c>
      <c r="H847" s="339" t="s">
        <v>1248</v>
      </c>
      <c r="I847" s="52" t="s">
        <v>1249</v>
      </c>
      <c r="J847" s="52"/>
      <c r="K847" s="335">
        <f t="shared" si="13"/>
        <v>0</v>
      </c>
      <c r="L847" s="335">
        <v>0</v>
      </c>
      <c r="M847" s="335"/>
      <c r="N847" s="335">
        <v>0</v>
      </c>
      <c r="O847" s="232"/>
      <c r="P847" s="232"/>
      <c r="Q847" s="232"/>
      <c r="R847" s="232"/>
      <c r="S847" s="232"/>
      <c r="T847" s="232"/>
    </row>
    <row r="848" spans="1:20">
      <c r="A848" s="174">
        <v>350</v>
      </c>
      <c r="B848" s="326">
        <v>100</v>
      </c>
      <c r="C848" s="326">
        <v>0</v>
      </c>
      <c r="D848" s="326">
        <v>0</v>
      </c>
      <c r="E848" s="326">
        <v>0</v>
      </c>
      <c r="F848" s="326">
        <v>0</v>
      </c>
      <c r="G848" s="331" t="s">
        <v>3027</v>
      </c>
      <c r="H848" s="331" t="s">
        <v>1250</v>
      </c>
      <c r="I848" s="326" t="s">
        <v>1251</v>
      </c>
      <c r="J848" s="325"/>
      <c r="K848" s="335">
        <f t="shared" si="13"/>
        <v>0</v>
      </c>
      <c r="L848" s="335">
        <v>0</v>
      </c>
      <c r="M848" s="335"/>
      <c r="N848" s="335">
        <v>0</v>
      </c>
      <c r="O848" s="232"/>
      <c r="P848" s="232"/>
      <c r="Q848" s="232"/>
      <c r="R848" s="232"/>
      <c r="S848" s="232"/>
      <c r="T848" s="232"/>
    </row>
    <row r="849" spans="1:20">
      <c r="A849" s="174">
        <v>350</v>
      </c>
      <c r="B849" s="326">
        <v>100</v>
      </c>
      <c r="C849" s="326">
        <v>100</v>
      </c>
      <c r="D849" s="326">
        <v>0</v>
      </c>
      <c r="E849" s="326">
        <v>0</v>
      </c>
      <c r="F849" s="326">
        <v>0</v>
      </c>
      <c r="G849" s="330" t="s">
        <v>3028</v>
      </c>
      <c r="H849" s="330" t="s">
        <v>1252</v>
      </c>
      <c r="I849" s="326" t="s">
        <v>1253</v>
      </c>
      <c r="J849" s="326"/>
      <c r="K849" s="334">
        <f t="shared" si="13"/>
        <v>47855.53</v>
      </c>
      <c r="L849" s="334">
        <v>47855.53</v>
      </c>
      <c r="M849" s="334"/>
      <c r="N849" s="334">
        <v>19407.14</v>
      </c>
      <c r="O849" s="232"/>
      <c r="P849" s="232"/>
      <c r="Q849" s="232"/>
      <c r="R849" s="232"/>
      <c r="S849" s="232"/>
      <c r="T849" s="232"/>
    </row>
    <row r="850" spans="1:20">
      <c r="A850" s="174">
        <v>350</v>
      </c>
      <c r="B850" s="326">
        <v>100</v>
      </c>
      <c r="C850" s="326">
        <v>200</v>
      </c>
      <c r="D850" s="326">
        <v>0</v>
      </c>
      <c r="E850" s="326">
        <v>0</v>
      </c>
      <c r="F850" s="326">
        <v>0</v>
      </c>
      <c r="G850" s="330" t="s">
        <v>3029</v>
      </c>
      <c r="H850" s="330" t="s">
        <v>1254</v>
      </c>
      <c r="I850" s="326" t="s">
        <v>1255</v>
      </c>
      <c r="J850" s="326"/>
      <c r="K850" s="334">
        <f t="shared" si="13"/>
        <v>1211811.94</v>
      </c>
      <c r="L850" s="334">
        <v>1211811.94</v>
      </c>
      <c r="M850" s="334"/>
      <c r="N850" s="334">
        <v>1021914.43</v>
      </c>
      <c r="O850" s="232"/>
      <c r="P850" s="232"/>
      <c r="Q850" s="232"/>
      <c r="R850" s="232"/>
      <c r="S850" s="232"/>
      <c r="T850" s="232"/>
    </row>
    <row r="851" spans="1:20">
      <c r="A851" s="174">
        <v>350</v>
      </c>
      <c r="B851" s="326">
        <v>200</v>
      </c>
      <c r="C851" s="326">
        <v>0</v>
      </c>
      <c r="D851" s="326">
        <v>0</v>
      </c>
      <c r="E851" s="326">
        <v>0</v>
      </c>
      <c r="F851" s="326">
        <v>0</v>
      </c>
      <c r="G851" s="331" t="s">
        <v>3030</v>
      </c>
      <c r="H851" s="331" t="s">
        <v>1256</v>
      </c>
      <c r="I851" s="326" t="s">
        <v>1257</v>
      </c>
      <c r="J851" s="325"/>
      <c r="K851" s="335">
        <f t="shared" si="13"/>
        <v>0</v>
      </c>
      <c r="L851" s="335">
        <v>0</v>
      </c>
      <c r="M851" s="335"/>
      <c r="N851" s="335">
        <v>0</v>
      </c>
      <c r="O851" s="232"/>
      <c r="P851" s="232"/>
      <c r="Q851" s="232"/>
      <c r="R851" s="232"/>
      <c r="S851" s="232"/>
      <c r="T851" s="232"/>
    </row>
    <row r="852" spans="1:20">
      <c r="A852" s="174">
        <v>350</v>
      </c>
      <c r="B852" s="326">
        <v>200</v>
      </c>
      <c r="C852" s="326">
        <v>100</v>
      </c>
      <c r="D852" s="326">
        <v>0</v>
      </c>
      <c r="E852" s="326">
        <v>0</v>
      </c>
      <c r="F852" s="326">
        <v>0</v>
      </c>
      <c r="G852" s="330" t="s">
        <v>3031</v>
      </c>
      <c r="H852" s="330" t="s">
        <v>1258</v>
      </c>
      <c r="I852" s="326"/>
      <c r="J852" s="326"/>
      <c r="K852" s="341">
        <f t="shared" si="13"/>
        <v>32636.89</v>
      </c>
      <c r="L852" s="341">
        <v>32636.89</v>
      </c>
      <c r="M852" s="341"/>
      <c r="N852" s="341">
        <v>227.14</v>
      </c>
      <c r="O852" s="232"/>
      <c r="P852" s="232"/>
      <c r="Q852" s="232"/>
      <c r="R852" s="232"/>
      <c r="S852" s="232"/>
      <c r="T852" s="232"/>
    </row>
    <row r="853" spans="1:20">
      <c r="A853" s="174">
        <v>350</v>
      </c>
      <c r="B853" s="326">
        <v>200</v>
      </c>
      <c r="C853" s="326">
        <v>200</v>
      </c>
      <c r="D853" s="326">
        <v>0</v>
      </c>
      <c r="E853" s="326">
        <v>0</v>
      </c>
      <c r="F853" s="326">
        <v>0</v>
      </c>
      <c r="G853" s="330" t="s">
        <v>3032</v>
      </c>
      <c r="H853" s="330" t="s">
        <v>1259</v>
      </c>
      <c r="I853" s="326"/>
      <c r="J853" s="326"/>
      <c r="K853" s="341">
        <f t="shared" si="13"/>
        <v>1789963.79</v>
      </c>
      <c r="L853" s="341">
        <v>1789963.79</v>
      </c>
      <c r="M853" s="341"/>
      <c r="N853" s="341">
        <v>1586900.47</v>
      </c>
      <c r="O853" s="232"/>
      <c r="P853" s="232"/>
      <c r="Q853" s="232"/>
      <c r="R853" s="232"/>
      <c r="S853" s="232"/>
      <c r="T853" s="232"/>
    </row>
    <row r="854" spans="1:20">
      <c r="A854" s="174">
        <v>350</v>
      </c>
      <c r="B854" s="326">
        <v>200</v>
      </c>
      <c r="C854" s="326">
        <v>300</v>
      </c>
      <c r="D854" s="326">
        <v>0</v>
      </c>
      <c r="E854" s="326">
        <v>0</v>
      </c>
      <c r="F854" s="326">
        <v>0</v>
      </c>
      <c r="G854" s="330" t="s">
        <v>3033</v>
      </c>
      <c r="H854" s="330" t="s">
        <v>1260</v>
      </c>
      <c r="I854" s="326"/>
      <c r="J854" s="326"/>
      <c r="K854" s="341">
        <f t="shared" si="13"/>
        <v>156020.92000000001</v>
      </c>
      <c r="L854" s="341">
        <v>156020.92000000001</v>
      </c>
      <c r="M854" s="341"/>
      <c r="N854" s="341">
        <v>103812.81</v>
      </c>
      <c r="O854" s="232"/>
      <c r="P854" s="232"/>
      <c r="Q854" s="232"/>
      <c r="R854" s="232"/>
      <c r="S854" s="232"/>
      <c r="T854" s="232"/>
    </row>
    <row r="855" spans="1:20">
      <c r="A855" s="174">
        <v>350</v>
      </c>
      <c r="B855" s="326">
        <v>200</v>
      </c>
      <c r="C855" s="326">
        <v>400</v>
      </c>
      <c r="D855" s="326">
        <v>0</v>
      </c>
      <c r="E855" s="326">
        <v>0</v>
      </c>
      <c r="F855" s="326">
        <v>0</v>
      </c>
      <c r="G855" s="330" t="s">
        <v>3034</v>
      </c>
      <c r="H855" s="330" t="s">
        <v>1261</v>
      </c>
      <c r="I855" s="326"/>
      <c r="J855" s="326"/>
      <c r="K855" s="341">
        <f t="shared" si="13"/>
        <v>3375</v>
      </c>
      <c r="L855" s="341">
        <v>3375</v>
      </c>
      <c r="M855" s="341"/>
      <c r="N855" s="341">
        <v>4751.0200000000004</v>
      </c>
      <c r="O855" s="232"/>
      <c r="P855" s="232"/>
      <c r="Q855" s="232"/>
      <c r="R855" s="232"/>
      <c r="S855" s="232"/>
      <c r="T855" s="232"/>
    </row>
    <row r="856" spans="1:20">
      <c r="A856" s="174">
        <v>350</v>
      </c>
      <c r="B856" s="326">
        <v>200</v>
      </c>
      <c r="C856" s="326">
        <v>500</v>
      </c>
      <c r="D856" s="326">
        <v>0</v>
      </c>
      <c r="E856" s="326">
        <v>0</v>
      </c>
      <c r="F856" s="326">
        <v>0</v>
      </c>
      <c r="G856" s="330" t="s">
        <v>3035</v>
      </c>
      <c r="H856" s="330" t="s">
        <v>1262</v>
      </c>
      <c r="I856" s="326"/>
      <c r="J856" s="326"/>
      <c r="K856" s="341">
        <f t="shared" si="13"/>
        <v>264743.78999999998</v>
      </c>
      <c r="L856" s="341">
        <v>264743.78999999998</v>
      </c>
      <c r="M856" s="341"/>
      <c r="N856" s="341">
        <v>273460.28000000003</v>
      </c>
      <c r="O856" s="232"/>
      <c r="P856" s="232"/>
      <c r="Q856" s="232"/>
      <c r="R856" s="232"/>
      <c r="S856" s="232"/>
      <c r="T856" s="232"/>
    </row>
    <row r="857" spans="1:20">
      <c r="A857" s="404">
        <v>355</v>
      </c>
      <c r="B857" s="405">
        <v>0</v>
      </c>
      <c r="C857" s="405">
        <v>0</v>
      </c>
      <c r="D857" s="405">
        <v>0</v>
      </c>
      <c r="E857" s="405">
        <v>0</v>
      </c>
      <c r="F857" s="405">
        <v>0</v>
      </c>
      <c r="G857" s="339">
        <v>355</v>
      </c>
      <c r="H857" s="339" t="s">
        <v>1263</v>
      </c>
      <c r="I857" s="52" t="s">
        <v>1264</v>
      </c>
      <c r="J857" s="52"/>
      <c r="K857" s="335">
        <f t="shared" si="13"/>
        <v>0</v>
      </c>
      <c r="L857" s="335">
        <v>0</v>
      </c>
      <c r="M857" s="335"/>
      <c r="N857" s="335">
        <v>0</v>
      </c>
      <c r="O857" s="232"/>
      <c r="P857" s="232"/>
      <c r="Q857" s="232"/>
      <c r="R857" s="232"/>
      <c r="S857" s="232"/>
      <c r="T857" s="232"/>
    </row>
    <row r="858" spans="1:20">
      <c r="A858" s="174">
        <v>355</v>
      </c>
      <c r="B858" s="326">
        <v>100</v>
      </c>
      <c r="C858" s="326">
        <v>0</v>
      </c>
      <c r="D858" s="326">
        <v>0</v>
      </c>
      <c r="E858" s="326">
        <v>0</v>
      </c>
      <c r="F858" s="326">
        <v>0</v>
      </c>
      <c r="G858" s="331" t="s">
        <v>3036</v>
      </c>
      <c r="H858" s="331" t="s">
        <v>1265</v>
      </c>
      <c r="I858" s="326" t="s">
        <v>1266</v>
      </c>
      <c r="J858" s="325"/>
      <c r="K858" s="335">
        <f t="shared" si="13"/>
        <v>0</v>
      </c>
      <c r="L858" s="335">
        <v>0</v>
      </c>
      <c r="M858" s="335"/>
      <c r="N858" s="335">
        <v>0</v>
      </c>
      <c r="O858" s="232"/>
      <c r="P858" s="232"/>
      <c r="Q858" s="232"/>
      <c r="R858" s="232"/>
      <c r="S858" s="232"/>
      <c r="T858" s="232"/>
    </row>
    <row r="859" spans="1:20">
      <c r="A859" s="174">
        <v>355</v>
      </c>
      <c r="B859" s="326">
        <v>100</v>
      </c>
      <c r="C859" s="326">
        <v>100</v>
      </c>
      <c r="D859" s="326">
        <v>0</v>
      </c>
      <c r="E859" s="326">
        <v>0</v>
      </c>
      <c r="F859" s="326">
        <v>0</v>
      </c>
      <c r="G859" s="348" t="s">
        <v>3037</v>
      </c>
      <c r="H859" s="331" t="s">
        <v>1267</v>
      </c>
      <c r="I859" s="326"/>
      <c r="J859" s="325"/>
      <c r="K859" s="335">
        <f t="shared" si="13"/>
        <v>0</v>
      </c>
      <c r="L859" s="335">
        <v>0</v>
      </c>
      <c r="M859" s="335"/>
      <c r="N859" s="335">
        <v>0</v>
      </c>
      <c r="O859" s="232"/>
      <c r="P859" s="232"/>
      <c r="Q859" s="232"/>
      <c r="R859" s="232"/>
      <c r="S859" s="232"/>
      <c r="T859" s="232"/>
    </row>
    <row r="860" spans="1:20">
      <c r="A860" s="174">
        <v>355</v>
      </c>
      <c r="B860" s="326">
        <v>100</v>
      </c>
      <c r="C860" s="326">
        <v>100</v>
      </c>
      <c r="D860" s="326">
        <v>100</v>
      </c>
      <c r="E860" s="326">
        <v>0</v>
      </c>
      <c r="F860" s="326">
        <v>0</v>
      </c>
      <c r="G860" s="347" t="s">
        <v>3038</v>
      </c>
      <c r="H860" s="330" t="s">
        <v>1268</v>
      </c>
      <c r="I860" s="326"/>
      <c r="J860" s="326"/>
      <c r="K860" s="341">
        <f t="shared" si="13"/>
        <v>0</v>
      </c>
      <c r="L860" s="341">
        <v>0</v>
      </c>
      <c r="M860" s="341"/>
      <c r="N860" s="341">
        <v>0</v>
      </c>
      <c r="O860" s="232"/>
      <c r="P860" s="232"/>
      <c r="Q860" s="232"/>
      <c r="R860" s="232"/>
      <c r="S860" s="232"/>
      <c r="T860" s="232"/>
    </row>
    <row r="861" spans="1:20">
      <c r="A861" s="174">
        <v>355</v>
      </c>
      <c r="B861" s="326">
        <v>100</v>
      </c>
      <c r="C861" s="326">
        <v>100</v>
      </c>
      <c r="D861" s="326">
        <v>200</v>
      </c>
      <c r="E861" s="326">
        <v>0</v>
      </c>
      <c r="F861" s="326">
        <v>0</v>
      </c>
      <c r="G861" s="347" t="s">
        <v>3039</v>
      </c>
      <c r="H861" s="330" t="s">
        <v>1269</v>
      </c>
      <c r="I861" s="326"/>
      <c r="J861" s="326"/>
      <c r="K861" s="341">
        <f t="shared" si="13"/>
        <v>0</v>
      </c>
      <c r="L861" s="341">
        <v>0</v>
      </c>
      <c r="M861" s="341"/>
      <c r="N861" s="341">
        <v>0</v>
      </c>
      <c r="O861" s="232"/>
      <c r="P861" s="232"/>
      <c r="Q861" s="232"/>
      <c r="R861" s="232"/>
      <c r="S861" s="232"/>
      <c r="T861" s="232"/>
    </row>
    <row r="862" spans="1:20" ht="25.5">
      <c r="A862" s="174">
        <v>355</v>
      </c>
      <c r="B862" s="326">
        <v>100</v>
      </c>
      <c r="C862" s="326">
        <v>100</v>
      </c>
      <c r="D862" s="326">
        <v>300</v>
      </c>
      <c r="E862" s="326">
        <v>0</v>
      </c>
      <c r="F862" s="326">
        <v>0</v>
      </c>
      <c r="G862" s="347" t="s">
        <v>3040</v>
      </c>
      <c r="H862" s="330" t="s">
        <v>1270</v>
      </c>
      <c r="I862" s="326"/>
      <c r="J862" s="326"/>
      <c r="K862" s="341">
        <f t="shared" si="13"/>
        <v>0</v>
      </c>
      <c r="L862" s="341">
        <v>0</v>
      </c>
      <c r="M862" s="341"/>
      <c r="N862" s="341">
        <v>0</v>
      </c>
      <c r="O862" s="232"/>
      <c r="P862" s="232"/>
      <c r="Q862" s="232"/>
      <c r="R862" s="232"/>
      <c r="S862" s="232"/>
      <c r="T862" s="232"/>
    </row>
    <row r="863" spans="1:20">
      <c r="A863" s="174">
        <v>355</v>
      </c>
      <c r="B863" s="326">
        <v>100</v>
      </c>
      <c r="C863" s="326">
        <v>100</v>
      </c>
      <c r="D863" s="326">
        <v>400</v>
      </c>
      <c r="E863" s="326">
        <v>0</v>
      </c>
      <c r="F863" s="326">
        <v>0</v>
      </c>
      <c r="G863" s="347" t="s">
        <v>3041</v>
      </c>
      <c r="H863" s="330" t="s">
        <v>1271</v>
      </c>
      <c r="I863" s="326"/>
      <c r="J863" s="326"/>
      <c r="K863" s="341">
        <f t="shared" si="13"/>
        <v>0</v>
      </c>
      <c r="L863" s="341">
        <v>0</v>
      </c>
      <c r="M863" s="341"/>
      <c r="N863" s="341">
        <v>0</v>
      </c>
      <c r="O863" s="232"/>
      <c r="P863" s="232"/>
      <c r="Q863" s="232"/>
      <c r="R863" s="232"/>
      <c r="S863" s="232"/>
      <c r="T863" s="232"/>
    </row>
    <row r="864" spans="1:20">
      <c r="A864" s="174">
        <v>355</v>
      </c>
      <c r="B864" s="326">
        <v>100</v>
      </c>
      <c r="C864" s="326">
        <v>200</v>
      </c>
      <c r="D864" s="326">
        <v>0</v>
      </c>
      <c r="E864" s="326">
        <v>0</v>
      </c>
      <c r="F864" s="326">
        <v>0</v>
      </c>
      <c r="G864" s="348" t="s">
        <v>3042</v>
      </c>
      <c r="H864" s="331" t="s">
        <v>1272</v>
      </c>
      <c r="I864" s="326"/>
      <c r="J864" s="325"/>
      <c r="K864" s="335">
        <f t="shared" si="13"/>
        <v>0</v>
      </c>
      <c r="L864" s="335">
        <v>0</v>
      </c>
      <c r="M864" s="335"/>
      <c r="N864" s="335">
        <v>0</v>
      </c>
      <c r="O864" s="232"/>
      <c r="P864" s="232"/>
      <c r="Q864" s="232"/>
      <c r="R864" s="232"/>
      <c r="S864" s="232"/>
      <c r="T864" s="232"/>
    </row>
    <row r="865" spans="1:20">
      <c r="A865" s="174">
        <v>355</v>
      </c>
      <c r="B865" s="326">
        <v>100</v>
      </c>
      <c r="C865" s="326">
        <v>200</v>
      </c>
      <c r="D865" s="326">
        <v>50</v>
      </c>
      <c r="E865" s="326">
        <v>0</v>
      </c>
      <c r="F865" s="326">
        <v>0</v>
      </c>
      <c r="G865" s="347" t="s">
        <v>3043</v>
      </c>
      <c r="H865" s="330" t="s">
        <v>1273</v>
      </c>
      <c r="I865" s="326"/>
      <c r="J865" s="326"/>
      <c r="K865" s="341">
        <f t="shared" si="13"/>
        <v>0</v>
      </c>
      <c r="L865" s="341">
        <v>0</v>
      </c>
      <c r="M865" s="341"/>
      <c r="N865" s="341">
        <v>0</v>
      </c>
      <c r="O865" s="232"/>
      <c r="P865" s="232"/>
      <c r="Q865" s="232"/>
      <c r="R865" s="232"/>
      <c r="S865" s="232"/>
      <c r="T865" s="232"/>
    </row>
    <row r="866" spans="1:20">
      <c r="A866" s="174">
        <v>355</v>
      </c>
      <c r="B866" s="326">
        <v>100</v>
      </c>
      <c r="C866" s="326">
        <v>200</v>
      </c>
      <c r="D866" s="326">
        <v>100</v>
      </c>
      <c r="E866" s="326">
        <v>0</v>
      </c>
      <c r="F866" s="326">
        <v>0</v>
      </c>
      <c r="G866" s="347" t="s">
        <v>3044</v>
      </c>
      <c r="H866" s="330" t="s">
        <v>1274</v>
      </c>
      <c r="I866" s="326"/>
      <c r="J866" s="326"/>
      <c r="K866" s="341">
        <f t="shared" si="13"/>
        <v>0</v>
      </c>
      <c r="L866" s="341">
        <v>0</v>
      </c>
      <c r="M866" s="341"/>
      <c r="N866" s="341">
        <v>0</v>
      </c>
      <c r="O866" s="232"/>
      <c r="P866" s="232"/>
      <c r="Q866" s="232"/>
      <c r="R866" s="232"/>
      <c r="S866" s="232"/>
      <c r="T866" s="232"/>
    </row>
    <row r="867" spans="1:20">
      <c r="A867" s="174">
        <v>355</v>
      </c>
      <c r="B867" s="326">
        <v>100</v>
      </c>
      <c r="C867" s="326">
        <v>200</v>
      </c>
      <c r="D867" s="326">
        <v>150</v>
      </c>
      <c r="E867" s="326">
        <v>0</v>
      </c>
      <c r="F867" s="326">
        <v>0</v>
      </c>
      <c r="G867" s="347" t="s">
        <v>3045</v>
      </c>
      <c r="H867" s="330" t="s">
        <v>1275</v>
      </c>
      <c r="I867" s="326"/>
      <c r="J867" s="326"/>
      <c r="K867" s="341">
        <f t="shared" si="13"/>
        <v>0</v>
      </c>
      <c r="L867" s="341">
        <v>0</v>
      </c>
      <c r="M867" s="341"/>
      <c r="N867" s="341">
        <v>0</v>
      </c>
      <c r="O867" s="232"/>
      <c r="P867" s="232"/>
      <c r="Q867" s="232"/>
      <c r="R867" s="232"/>
      <c r="S867" s="232"/>
      <c r="T867" s="232"/>
    </row>
    <row r="868" spans="1:20">
      <c r="A868" s="174">
        <v>355</v>
      </c>
      <c r="B868" s="326">
        <v>100</v>
      </c>
      <c r="C868" s="326">
        <v>200</v>
      </c>
      <c r="D868" s="326">
        <v>200</v>
      </c>
      <c r="E868" s="326">
        <v>0</v>
      </c>
      <c r="F868" s="326">
        <v>0</v>
      </c>
      <c r="G868" s="347" t="s">
        <v>3046</v>
      </c>
      <c r="H868" s="330" t="s">
        <v>1276</v>
      </c>
      <c r="I868" s="326"/>
      <c r="J868" s="326"/>
      <c r="K868" s="341">
        <f t="shared" si="13"/>
        <v>0</v>
      </c>
      <c r="L868" s="341">
        <v>0</v>
      </c>
      <c r="M868" s="341"/>
      <c r="N868" s="341">
        <v>0</v>
      </c>
      <c r="O868" s="232"/>
      <c r="P868" s="232"/>
      <c r="Q868" s="232"/>
      <c r="R868" s="232"/>
      <c r="S868" s="232"/>
      <c r="T868" s="232"/>
    </row>
    <row r="869" spans="1:20">
      <c r="A869" s="174">
        <v>355</v>
      </c>
      <c r="B869" s="326">
        <v>100</v>
      </c>
      <c r="C869" s="326">
        <v>200</v>
      </c>
      <c r="D869" s="326">
        <v>250</v>
      </c>
      <c r="E869" s="326">
        <v>0</v>
      </c>
      <c r="F869" s="326">
        <v>0</v>
      </c>
      <c r="G869" s="347" t="s">
        <v>3047</v>
      </c>
      <c r="H869" s="330" t="s">
        <v>1277</v>
      </c>
      <c r="I869" s="326"/>
      <c r="J869" s="326"/>
      <c r="K869" s="341">
        <f t="shared" si="13"/>
        <v>0</v>
      </c>
      <c r="L869" s="341">
        <v>0</v>
      </c>
      <c r="M869" s="341"/>
      <c r="N869" s="341">
        <v>0</v>
      </c>
      <c r="O869" s="232"/>
      <c r="P869" s="232"/>
      <c r="Q869" s="232"/>
      <c r="R869" s="232"/>
      <c r="S869" s="232"/>
      <c r="T869" s="232"/>
    </row>
    <row r="870" spans="1:20">
      <c r="A870" s="174">
        <v>355</v>
      </c>
      <c r="B870" s="326">
        <v>100</v>
      </c>
      <c r="C870" s="326">
        <v>200</v>
      </c>
      <c r="D870" s="326">
        <v>300</v>
      </c>
      <c r="E870" s="326">
        <v>0</v>
      </c>
      <c r="F870" s="326">
        <v>0</v>
      </c>
      <c r="G870" s="347" t="s">
        <v>3048</v>
      </c>
      <c r="H870" s="330" t="s">
        <v>1278</v>
      </c>
      <c r="I870" s="326"/>
      <c r="J870" s="326"/>
      <c r="K870" s="341">
        <f t="shared" si="13"/>
        <v>0</v>
      </c>
      <c r="L870" s="341">
        <v>0</v>
      </c>
      <c r="M870" s="341"/>
      <c r="N870" s="341">
        <v>0</v>
      </c>
      <c r="O870" s="232"/>
      <c r="P870" s="232"/>
      <c r="Q870" s="232"/>
      <c r="R870" s="232"/>
      <c r="S870" s="232"/>
      <c r="T870" s="232"/>
    </row>
    <row r="871" spans="1:20">
      <c r="A871" s="174">
        <v>355</v>
      </c>
      <c r="B871" s="326">
        <v>100</v>
      </c>
      <c r="C871" s="326">
        <v>200</v>
      </c>
      <c r="D871" s="326">
        <v>350</v>
      </c>
      <c r="E871" s="326">
        <v>0</v>
      </c>
      <c r="F871" s="326">
        <v>0</v>
      </c>
      <c r="G871" s="347" t="s">
        <v>3049</v>
      </c>
      <c r="H871" s="330" t="s">
        <v>1279</v>
      </c>
      <c r="I871" s="326"/>
      <c r="J871" s="326"/>
      <c r="K871" s="341">
        <f t="shared" si="13"/>
        <v>0</v>
      </c>
      <c r="L871" s="341">
        <v>0</v>
      </c>
      <c r="M871" s="341"/>
      <c r="N871" s="341">
        <v>0</v>
      </c>
      <c r="O871" s="232"/>
      <c r="P871" s="232"/>
      <c r="Q871" s="232"/>
      <c r="R871" s="232"/>
      <c r="S871" s="232"/>
      <c r="T871" s="232"/>
    </row>
    <row r="872" spans="1:20">
      <c r="A872" s="174">
        <v>355</v>
      </c>
      <c r="B872" s="326">
        <v>100</v>
      </c>
      <c r="C872" s="326">
        <v>200</v>
      </c>
      <c r="D872" s="326">
        <v>400</v>
      </c>
      <c r="E872" s="326">
        <v>0</v>
      </c>
      <c r="F872" s="326">
        <v>0</v>
      </c>
      <c r="G872" s="347" t="s">
        <v>3050</v>
      </c>
      <c r="H872" s="330" t="s">
        <v>1280</v>
      </c>
      <c r="I872" s="326"/>
      <c r="J872" s="326"/>
      <c r="K872" s="341">
        <f t="shared" si="13"/>
        <v>0</v>
      </c>
      <c r="L872" s="341">
        <v>0</v>
      </c>
      <c r="M872" s="341"/>
      <c r="N872" s="341">
        <v>0</v>
      </c>
      <c r="O872" s="232"/>
      <c r="P872" s="232"/>
      <c r="Q872" s="232"/>
      <c r="R872" s="232"/>
      <c r="S872" s="232"/>
      <c r="T872" s="232"/>
    </row>
    <row r="873" spans="1:20">
      <c r="A873" s="174">
        <v>355</v>
      </c>
      <c r="B873" s="326">
        <v>100</v>
      </c>
      <c r="C873" s="326">
        <v>200</v>
      </c>
      <c r="D873" s="326">
        <v>450</v>
      </c>
      <c r="E873" s="326">
        <v>0</v>
      </c>
      <c r="F873" s="326">
        <v>0</v>
      </c>
      <c r="G873" s="347" t="s">
        <v>3051</v>
      </c>
      <c r="H873" s="330" t="s">
        <v>1281</v>
      </c>
      <c r="I873" s="326"/>
      <c r="J873" s="326"/>
      <c r="K873" s="341">
        <f t="shared" si="13"/>
        <v>0</v>
      </c>
      <c r="L873" s="341">
        <v>0</v>
      </c>
      <c r="M873" s="341"/>
      <c r="N873" s="341">
        <v>0</v>
      </c>
      <c r="O873" s="232"/>
      <c r="P873" s="232"/>
      <c r="Q873" s="232"/>
      <c r="R873" s="232"/>
      <c r="S873" s="232"/>
      <c r="T873" s="232"/>
    </row>
    <row r="874" spans="1:20">
      <c r="A874" s="174">
        <v>355</v>
      </c>
      <c r="B874" s="326">
        <v>100</v>
      </c>
      <c r="C874" s="326">
        <v>200</v>
      </c>
      <c r="D874" s="326">
        <v>500</v>
      </c>
      <c r="E874" s="326">
        <v>0</v>
      </c>
      <c r="F874" s="326">
        <v>0</v>
      </c>
      <c r="G874" s="347" t="s">
        <v>3052</v>
      </c>
      <c r="H874" s="330" t="s">
        <v>1282</v>
      </c>
      <c r="I874" s="326"/>
      <c r="J874" s="326"/>
      <c r="K874" s="341">
        <f t="shared" si="13"/>
        <v>0</v>
      </c>
      <c r="L874" s="341">
        <v>0</v>
      </c>
      <c r="M874" s="341"/>
      <c r="N874" s="341">
        <v>0</v>
      </c>
      <c r="O874" s="232"/>
      <c r="P874" s="232"/>
      <c r="Q874" s="232"/>
      <c r="R874" s="232"/>
      <c r="S874" s="232"/>
      <c r="T874" s="232"/>
    </row>
    <row r="875" spans="1:20">
      <c r="A875" s="174">
        <v>355</v>
      </c>
      <c r="B875" s="326">
        <v>200</v>
      </c>
      <c r="C875" s="326">
        <v>0</v>
      </c>
      <c r="D875" s="326">
        <v>0</v>
      </c>
      <c r="E875" s="326">
        <v>0</v>
      </c>
      <c r="F875" s="326">
        <v>0</v>
      </c>
      <c r="G875" s="331" t="s">
        <v>3053</v>
      </c>
      <c r="H875" s="331" t="s">
        <v>1283</v>
      </c>
      <c r="I875" s="326" t="s">
        <v>1284</v>
      </c>
      <c r="J875" s="325"/>
      <c r="K875" s="335">
        <f t="shared" si="13"/>
        <v>0</v>
      </c>
      <c r="L875" s="335">
        <v>0</v>
      </c>
      <c r="M875" s="335"/>
      <c r="N875" s="335">
        <v>0</v>
      </c>
      <c r="O875" s="232"/>
      <c r="P875" s="232"/>
      <c r="Q875" s="232"/>
      <c r="R875" s="232"/>
      <c r="S875" s="232"/>
      <c r="T875" s="232"/>
    </row>
    <row r="876" spans="1:20">
      <c r="A876" s="174">
        <v>355</v>
      </c>
      <c r="B876" s="326">
        <v>200</v>
      </c>
      <c r="C876" s="326">
        <v>100</v>
      </c>
      <c r="D876" s="326">
        <v>0</v>
      </c>
      <c r="E876" s="326">
        <v>0</v>
      </c>
      <c r="F876" s="326">
        <v>0</v>
      </c>
      <c r="G876" s="347" t="s">
        <v>3054</v>
      </c>
      <c r="H876" s="330" t="s">
        <v>1285</v>
      </c>
      <c r="I876" s="326"/>
      <c r="J876" s="326"/>
      <c r="K876" s="341">
        <f t="shared" si="13"/>
        <v>0</v>
      </c>
      <c r="L876" s="341">
        <v>0</v>
      </c>
      <c r="M876" s="341"/>
      <c r="N876" s="341">
        <v>0</v>
      </c>
      <c r="O876" s="232"/>
      <c r="P876" s="232"/>
      <c r="Q876" s="232"/>
      <c r="R876" s="232"/>
      <c r="S876" s="232"/>
      <c r="T876" s="232"/>
    </row>
    <row r="877" spans="1:20">
      <c r="A877" s="174">
        <v>355</v>
      </c>
      <c r="B877" s="326">
        <v>200</v>
      </c>
      <c r="C877" s="326">
        <v>101</v>
      </c>
      <c r="D877" s="326">
        <v>0</v>
      </c>
      <c r="E877" s="326">
        <v>0</v>
      </c>
      <c r="F877" s="326">
        <v>0</v>
      </c>
      <c r="G877" s="347" t="s">
        <v>3055</v>
      </c>
      <c r="H877" s="330" t="s">
        <v>1286</v>
      </c>
      <c r="I877" s="326"/>
      <c r="J877" s="326"/>
      <c r="K877" s="341">
        <f t="shared" si="13"/>
        <v>0</v>
      </c>
      <c r="L877" s="341">
        <v>0</v>
      </c>
      <c r="M877" s="341"/>
      <c r="N877" s="341">
        <v>0</v>
      </c>
      <c r="O877" s="232"/>
      <c r="P877" s="232"/>
      <c r="Q877" s="232"/>
      <c r="R877" s="232"/>
      <c r="S877" s="232"/>
      <c r="T877" s="232"/>
    </row>
    <row r="878" spans="1:20">
      <c r="A878" s="174">
        <v>355</v>
      </c>
      <c r="B878" s="326">
        <v>200</v>
      </c>
      <c r="C878" s="326">
        <v>102</v>
      </c>
      <c r="D878" s="326">
        <v>0</v>
      </c>
      <c r="E878" s="326">
        <v>0</v>
      </c>
      <c r="F878" s="326">
        <v>0</v>
      </c>
      <c r="G878" s="347" t="s">
        <v>3056</v>
      </c>
      <c r="H878" s="330" t="s">
        <v>1287</v>
      </c>
      <c r="I878" s="326"/>
      <c r="J878" s="326"/>
      <c r="K878" s="341">
        <f t="shared" si="13"/>
        <v>0</v>
      </c>
      <c r="L878" s="341">
        <v>0</v>
      </c>
      <c r="M878" s="341"/>
      <c r="N878" s="341">
        <v>0</v>
      </c>
      <c r="O878" s="232"/>
      <c r="P878" s="232"/>
      <c r="Q878" s="232"/>
      <c r="R878" s="232"/>
      <c r="S878" s="232"/>
      <c r="T878" s="232"/>
    </row>
    <row r="879" spans="1:20">
      <c r="A879" s="174">
        <v>355</v>
      </c>
      <c r="B879" s="326">
        <v>200</v>
      </c>
      <c r="C879" s="326">
        <v>103</v>
      </c>
      <c r="D879" s="326">
        <v>0</v>
      </c>
      <c r="E879" s="326">
        <v>0</v>
      </c>
      <c r="F879" s="326">
        <v>0</v>
      </c>
      <c r="G879" s="347" t="s">
        <v>3057</v>
      </c>
      <c r="H879" s="330" t="s">
        <v>1288</v>
      </c>
      <c r="I879" s="326"/>
      <c r="J879" s="326"/>
      <c r="K879" s="341">
        <f t="shared" si="13"/>
        <v>0</v>
      </c>
      <c r="L879" s="341">
        <v>0</v>
      </c>
      <c r="M879" s="341"/>
      <c r="N879" s="341">
        <v>0</v>
      </c>
      <c r="O879" s="232"/>
      <c r="P879" s="232"/>
      <c r="Q879" s="232"/>
      <c r="R879" s="232"/>
      <c r="S879" s="232"/>
      <c r="T879" s="232"/>
    </row>
    <row r="880" spans="1:20" ht="25.5">
      <c r="A880" s="174">
        <v>355</v>
      </c>
      <c r="B880" s="326">
        <v>200</v>
      </c>
      <c r="C880" s="326">
        <v>200</v>
      </c>
      <c r="D880" s="326">
        <v>0</v>
      </c>
      <c r="E880" s="326">
        <v>0</v>
      </c>
      <c r="F880" s="326">
        <v>0</v>
      </c>
      <c r="G880" s="347" t="s">
        <v>3058</v>
      </c>
      <c r="H880" s="330" t="s">
        <v>1289</v>
      </c>
      <c r="I880" s="326"/>
      <c r="J880" s="326"/>
      <c r="K880" s="341">
        <f t="shared" si="13"/>
        <v>0</v>
      </c>
      <c r="L880" s="341">
        <v>0</v>
      </c>
      <c r="M880" s="341"/>
      <c r="N880" s="341">
        <v>0</v>
      </c>
      <c r="O880" s="232"/>
      <c r="P880" s="232"/>
      <c r="Q880" s="232"/>
      <c r="R880" s="232"/>
      <c r="S880" s="232"/>
      <c r="T880" s="232"/>
    </row>
    <row r="881" spans="1:20">
      <c r="A881" s="174">
        <v>355</v>
      </c>
      <c r="B881" s="326">
        <v>200</v>
      </c>
      <c r="C881" s="326">
        <v>201</v>
      </c>
      <c r="D881" s="326">
        <v>0</v>
      </c>
      <c r="E881" s="326">
        <v>0</v>
      </c>
      <c r="F881" s="326">
        <v>0</v>
      </c>
      <c r="G881" s="347" t="s">
        <v>3059</v>
      </c>
      <c r="H881" s="330" t="s">
        <v>1290</v>
      </c>
      <c r="I881" s="326"/>
      <c r="J881" s="326"/>
      <c r="K881" s="341">
        <f t="shared" si="13"/>
        <v>0</v>
      </c>
      <c r="L881" s="341">
        <v>0</v>
      </c>
      <c r="M881" s="341"/>
      <c r="N881" s="341">
        <v>0</v>
      </c>
      <c r="O881" s="232"/>
      <c r="P881" s="232"/>
      <c r="Q881" s="232"/>
      <c r="R881" s="232"/>
      <c r="S881" s="232"/>
      <c r="T881" s="232"/>
    </row>
    <row r="882" spans="1:20" ht="25.5">
      <c r="A882" s="174">
        <v>355</v>
      </c>
      <c r="B882" s="326">
        <v>200</v>
      </c>
      <c r="C882" s="326">
        <v>202</v>
      </c>
      <c r="D882" s="326">
        <v>0</v>
      </c>
      <c r="E882" s="326">
        <v>0</v>
      </c>
      <c r="F882" s="326">
        <v>0</v>
      </c>
      <c r="G882" s="347" t="s">
        <v>3060</v>
      </c>
      <c r="H882" s="330" t="s">
        <v>1291</v>
      </c>
      <c r="I882" s="326"/>
      <c r="J882" s="326"/>
      <c r="K882" s="341">
        <f t="shared" si="13"/>
        <v>0</v>
      </c>
      <c r="L882" s="341">
        <v>0</v>
      </c>
      <c r="M882" s="341"/>
      <c r="N882" s="341">
        <v>0</v>
      </c>
      <c r="O882" s="232"/>
      <c r="P882" s="232"/>
      <c r="Q882" s="232"/>
      <c r="R882" s="232"/>
      <c r="S882" s="232"/>
      <c r="T882" s="232"/>
    </row>
    <row r="883" spans="1:20" ht="25.5">
      <c r="A883" s="174">
        <v>355</v>
      </c>
      <c r="B883" s="326">
        <v>200</v>
      </c>
      <c r="C883" s="326">
        <v>203</v>
      </c>
      <c r="D883" s="326">
        <v>0</v>
      </c>
      <c r="E883" s="326">
        <v>0</v>
      </c>
      <c r="F883" s="326">
        <v>0</v>
      </c>
      <c r="G883" s="347" t="s">
        <v>3061</v>
      </c>
      <c r="H883" s="330" t="s">
        <v>1292</v>
      </c>
      <c r="I883" s="326"/>
      <c r="J883" s="326"/>
      <c r="K883" s="341">
        <f t="shared" si="13"/>
        <v>0</v>
      </c>
      <c r="L883" s="341">
        <v>0</v>
      </c>
      <c r="M883" s="341"/>
      <c r="N883" s="341">
        <v>0</v>
      </c>
      <c r="O883" s="232"/>
      <c r="P883" s="232"/>
      <c r="Q883" s="232"/>
      <c r="R883" s="232"/>
      <c r="S883" s="232"/>
      <c r="T883" s="232"/>
    </row>
    <row r="884" spans="1:20" ht="25.5">
      <c r="A884" s="174">
        <v>355</v>
      </c>
      <c r="B884" s="326">
        <v>200</v>
      </c>
      <c r="C884" s="326">
        <v>204</v>
      </c>
      <c r="D884" s="326">
        <v>0</v>
      </c>
      <c r="E884" s="326">
        <v>0</v>
      </c>
      <c r="F884" s="326">
        <v>0</v>
      </c>
      <c r="G884" s="347" t="s">
        <v>3062</v>
      </c>
      <c r="H884" s="330" t="s">
        <v>1293</v>
      </c>
      <c r="I884" s="326"/>
      <c r="J884" s="326"/>
      <c r="K884" s="341">
        <f t="shared" si="13"/>
        <v>0</v>
      </c>
      <c r="L884" s="341">
        <v>0</v>
      </c>
      <c r="M884" s="341"/>
      <c r="N884" s="341">
        <v>0</v>
      </c>
      <c r="O884" s="232"/>
      <c r="P884" s="232"/>
      <c r="Q884" s="232"/>
      <c r="R884" s="232"/>
      <c r="S884" s="232"/>
      <c r="T884" s="232"/>
    </row>
    <row r="885" spans="1:20" ht="25.5">
      <c r="A885" s="174">
        <v>355</v>
      </c>
      <c r="B885" s="326">
        <v>200</v>
      </c>
      <c r="C885" s="326">
        <v>205</v>
      </c>
      <c r="D885" s="326">
        <v>0</v>
      </c>
      <c r="E885" s="326">
        <v>0</v>
      </c>
      <c r="F885" s="326">
        <v>0</v>
      </c>
      <c r="G885" s="347" t="s">
        <v>3063</v>
      </c>
      <c r="H885" s="330" t="s">
        <v>1294</v>
      </c>
      <c r="I885" s="326"/>
      <c r="J885" s="326"/>
      <c r="K885" s="341">
        <f t="shared" si="13"/>
        <v>0</v>
      </c>
      <c r="L885" s="341">
        <v>0</v>
      </c>
      <c r="M885" s="341"/>
      <c r="N885" s="341">
        <v>0</v>
      </c>
      <c r="O885" s="232"/>
      <c r="P885" s="232"/>
      <c r="Q885" s="232"/>
      <c r="R885" s="232"/>
      <c r="S885" s="232"/>
      <c r="T885" s="232"/>
    </row>
    <row r="886" spans="1:20">
      <c r="A886" s="174">
        <v>355</v>
      </c>
      <c r="B886" s="326">
        <v>200</v>
      </c>
      <c r="C886" s="326">
        <v>206</v>
      </c>
      <c r="D886" s="326">
        <v>0</v>
      </c>
      <c r="E886" s="326">
        <v>0</v>
      </c>
      <c r="F886" s="326">
        <v>0</v>
      </c>
      <c r="G886" s="347" t="s">
        <v>3064</v>
      </c>
      <c r="H886" s="330" t="s">
        <v>1295</v>
      </c>
      <c r="I886" s="326"/>
      <c r="J886" s="326"/>
      <c r="K886" s="341">
        <f t="shared" si="13"/>
        <v>0</v>
      </c>
      <c r="L886" s="341">
        <v>0</v>
      </c>
      <c r="M886" s="341"/>
      <c r="N886" s="341">
        <v>0</v>
      </c>
      <c r="O886" s="232"/>
      <c r="P886" s="232"/>
      <c r="Q886" s="232"/>
      <c r="R886" s="232"/>
      <c r="S886" s="232"/>
      <c r="T886" s="232"/>
    </row>
    <row r="887" spans="1:20" ht="25.5">
      <c r="A887" s="174">
        <v>355</v>
      </c>
      <c r="B887" s="326">
        <v>200</v>
      </c>
      <c r="C887" s="326">
        <v>207</v>
      </c>
      <c r="D887" s="326">
        <v>0</v>
      </c>
      <c r="E887" s="326">
        <v>0</v>
      </c>
      <c r="F887" s="326">
        <v>0</v>
      </c>
      <c r="G887" s="347" t="s">
        <v>3065</v>
      </c>
      <c r="H887" s="330" t="s">
        <v>1296</v>
      </c>
      <c r="I887" s="326"/>
      <c r="J887" s="326"/>
      <c r="K887" s="341">
        <f t="shared" ref="K887:K950" si="14">+L887+M887</f>
        <v>0</v>
      </c>
      <c r="L887" s="341">
        <v>0</v>
      </c>
      <c r="M887" s="341"/>
      <c r="N887" s="341">
        <v>0</v>
      </c>
      <c r="O887" s="232"/>
      <c r="P887" s="232"/>
      <c r="Q887" s="232"/>
      <c r="R887" s="232"/>
      <c r="S887" s="232"/>
      <c r="T887" s="232"/>
    </row>
    <row r="888" spans="1:20" ht="25.5">
      <c r="A888" s="174">
        <v>355</v>
      </c>
      <c r="B888" s="326">
        <v>200</v>
      </c>
      <c r="C888" s="326">
        <v>208</v>
      </c>
      <c r="D888" s="326">
        <v>0</v>
      </c>
      <c r="E888" s="326">
        <v>0</v>
      </c>
      <c r="F888" s="326">
        <v>0</v>
      </c>
      <c r="G888" s="347" t="s">
        <v>3066</v>
      </c>
      <c r="H888" s="330" t="s">
        <v>1297</v>
      </c>
      <c r="I888" s="326"/>
      <c r="J888" s="326"/>
      <c r="K888" s="341">
        <f t="shared" si="14"/>
        <v>0</v>
      </c>
      <c r="L888" s="341">
        <v>0</v>
      </c>
      <c r="M888" s="341"/>
      <c r="N888" s="341">
        <v>0</v>
      </c>
      <c r="O888" s="232"/>
      <c r="P888" s="232"/>
      <c r="Q888" s="232"/>
      <c r="R888" s="232"/>
      <c r="S888" s="232"/>
      <c r="T888" s="232"/>
    </row>
    <row r="889" spans="1:20" ht="25.5">
      <c r="A889" s="174">
        <v>355</v>
      </c>
      <c r="B889" s="326">
        <v>200</v>
      </c>
      <c r="C889" s="326">
        <v>209</v>
      </c>
      <c r="D889" s="326">
        <v>0</v>
      </c>
      <c r="E889" s="326">
        <v>0</v>
      </c>
      <c r="F889" s="326">
        <v>0</v>
      </c>
      <c r="G889" s="347" t="s">
        <v>3067</v>
      </c>
      <c r="H889" s="330" t="s">
        <v>1298</v>
      </c>
      <c r="I889" s="326"/>
      <c r="J889" s="326"/>
      <c r="K889" s="341">
        <f t="shared" si="14"/>
        <v>0</v>
      </c>
      <c r="L889" s="341">
        <v>0</v>
      </c>
      <c r="M889" s="341"/>
      <c r="N889" s="341">
        <v>0</v>
      </c>
      <c r="O889" s="232"/>
      <c r="P889" s="232"/>
      <c r="Q889" s="232"/>
      <c r="R889" s="232"/>
      <c r="S889" s="232"/>
      <c r="T889" s="232"/>
    </row>
    <row r="890" spans="1:20" ht="25.5">
      <c r="A890" s="174">
        <v>355</v>
      </c>
      <c r="B890" s="326">
        <v>200</v>
      </c>
      <c r="C890" s="326">
        <v>210</v>
      </c>
      <c r="D890" s="326">
        <v>0</v>
      </c>
      <c r="E890" s="326">
        <v>0</v>
      </c>
      <c r="F890" s="326">
        <v>0</v>
      </c>
      <c r="G890" s="347" t="s">
        <v>3068</v>
      </c>
      <c r="H890" s="330" t="s">
        <v>1299</v>
      </c>
      <c r="I890" s="326"/>
      <c r="J890" s="326"/>
      <c r="K890" s="341">
        <f t="shared" si="14"/>
        <v>0</v>
      </c>
      <c r="L890" s="341">
        <v>0</v>
      </c>
      <c r="M890" s="341"/>
      <c r="N890" s="341">
        <v>0</v>
      </c>
      <c r="O890" s="232"/>
      <c r="P890" s="232"/>
      <c r="Q890" s="232"/>
      <c r="R890" s="232"/>
      <c r="S890" s="232"/>
      <c r="T890" s="232"/>
    </row>
    <row r="891" spans="1:20" ht="25.5">
      <c r="A891" s="174">
        <v>355</v>
      </c>
      <c r="B891" s="326">
        <v>200</v>
      </c>
      <c r="C891" s="326">
        <v>211</v>
      </c>
      <c r="D891" s="326">
        <v>0</v>
      </c>
      <c r="E891" s="326">
        <v>0</v>
      </c>
      <c r="F891" s="326">
        <v>0</v>
      </c>
      <c r="G891" s="347" t="s">
        <v>3069</v>
      </c>
      <c r="H891" s="330" t="s">
        <v>1300</v>
      </c>
      <c r="I891" s="326"/>
      <c r="J891" s="326"/>
      <c r="K891" s="341">
        <f t="shared" si="14"/>
        <v>0</v>
      </c>
      <c r="L891" s="341">
        <v>0</v>
      </c>
      <c r="M891" s="341"/>
      <c r="N891" s="341">
        <v>0</v>
      </c>
      <c r="O891" s="232"/>
      <c r="P891" s="232"/>
      <c r="Q891" s="232"/>
      <c r="R891" s="232"/>
      <c r="S891" s="232"/>
      <c r="T891" s="232"/>
    </row>
    <row r="892" spans="1:20">
      <c r="A892" s="174">
        <v>355</v>
      </c>
      <c r="B892" s="326">
        <v>200</v>
      </c>
      <c r="C892" s="326">
        <v>300</v>
      </c>
      <c r="D892" s="326">
        <v>0</v>
      </c>
      <c r="E892" s="326">
        <v>0</v>
      </c>
      <c r="F892" s="326">
        <v>0</v>
      </c>
      <c r="G892" s="347" t="s">
        <v>3070</v>
      </c>
      <c r="H892" s="330" t="s">
        <v>1301</v>
      </c>
      <c r="I892" s="326"/>
      <c r="J892" s="326"/>
      <c r="K892" s="341">
        <f t="shared" si="14"/>
        <v>0</v>
      </c>
      <c r="L892" s="341">
        <v>0</v>
      </c>
      <c r="M892" s="341"/>
      <c r="N892" s="341">
        <v>0</v>
      </c>
      <c r="O892" s="232"/>
      <c r="P892" s="232"/>
      <c r="Q892" s="232"/>
      <c r="R892" s="232"/>
      <c r="S892" s="232"/>
      <c r="T892" s="232"/>
    </row>
    <row r="893" spans="1:20" ht="25.5">
      <c r="A893" s="174">
        <v>355</v>
      </c>
      <c r="B893" s="326">
        <v>200</v>
      </c>
      <c r="C893" s="326">
        <v>400</v>
      </c>
      <c r="D893" s="326">
        <v>0</v>
      </c>
      <c r="E893" s="326">
        <v>0</v>
      </c>
      <c r="F893" s="326">
        <v>0</v>
      </c>
      <c r="G893" s="347" t="s">
        <v>3071</v>
      </c>
      <c r="H893" s="330" t="s">
        <v>1302</v>
      </c>
      <c r="I893" s="326"/>
      <c r="J893" s="326"/>
      <c r="K893" s="341">
        <f t="shared" si="14"/>
        <v>0</v>
      </c>
      <c r="L893" s="341">
        <v>0</v>
      </c>
      <c r="M893" s="341"/>
      <c r="N893" s="341">
        <v>0</v>
      </c>
      <c r="O893" s="232"/>
      <c r="P893" s="232"/>
      <c r="Q893" s="232"/>
      <c r="R893" s="232"/>
      <c r="S893" s="232"/>
      <c r="T893" s="232"/>
    </row>
    <row r="894" spans="1:20" ht="25.5">
      <c r="A894" s="174">
        <v>355</v>
      </c>
      <c r="B894" s="326">
        <v>200</v>
      </c>
      <c r="C894" s="326">
        <v>401</v>
      </c>
      <c r="D894" s="326">
        <v>0</v>
      </c>
      <c r="E894" s="326">
        <v>0</v>
      </c>
      <c r="F894" s="326">
        <v>0</v>
      </c>
      <c r="G894" s="347" t="s">
        <v>3072</v>
      </c>
      <c r="H894" s="330" t="s">
        <v>1303</v>
      </c>
      <c r="I894" s="326"/>
      <c r="J894" s="326"/>
      <c r="K894" s="341">
        <f t="shared" si="14"/>
        <v>0</v>
      </c>
      <c r="L894" s="341">
        <v>0</v>
      </c>
      <c r="M894" s="341"/>
      <c r="N894" s="341">
        <v>0</v>
      </c>
      <c r="O894" s="232"/>
      <c r="P894" s="232"/>
      <c r="Q894" s="232"/>
      <c r="R894" s="232"/>
      <c r="S894" s="232"/>
      <c r="T894" s="232"/>
    </row>
    <row r="895" spans="1:20" ht="25.5">
      <c r="A895" s="174">
        <v>355</v>
      </c>
      <c r="B895" s="326">
        <v>200</v>
      </c>
      <c r="C895" s="326">
        <v>402</v>
      </c>
      <c r="D895" s="326">
        <v>0</v>
      </c>
      <c r="E895" s="326">
        <v>0</v>
      </c>
      <c r="F895" s="326">
        <v>0</v>
      </c>
      <c r="G895" s="347" t="s">
        <v>3073</v>
      </c>
      <c r="H895" s="330" t="s">
        <v>1304</v>
      </c>
      <c r="I895" s="326"/>
      <c r="J895" s="326"/>
      <c r="K895" s="341">
        <f t="shared" si="14"/>
        <v>0</v>
      </c>
      <c r="L895" s="341">
        <v>0</v>
      </c>
      <c r="M895" s="341"/>
      <c r="N895" s="341">
        <v>0</v>
      </c>
      <c r="O895" s="232"/>
      <c r="P895" s="232"/>
      <c r="Q895" s="232"/>
      <c r="R895" s="232"/>
      <c r="S895" s="232"/>
      <c r="T895" s="232"/>
    </row>
    <row r="896" spans="1:20" ht="25.5">
      <c r="A896" s="174">
        <v>355</v>
      </c>
      <c r="B896" s="326">
        <v>200</v>
      </c>
      <c r="C896" s="326">
        <v>403</v>
      </c>
      <c r="D896" s="326">
        <v>0</v>
      </c>
      <c r="E896" s="326">
        <v>0</v>
      </c>
      <c r="F896" s="326">
        <v>0</v>
      </c>
      <c r="G896" s="347" t="s">
        <v>3074</v>
      </c>
      <c r="H896" s="330" t="s">
        <v>1305</v>
      </c>
      <c r="I896" s="326"/>
      <c r="J896" s="326"/>
      <c r="K896" s="341">
        <f t="shared" si="14"/>
        <v>0</v>
      </c>
      <c r="L896" s="341">
        <v>0</v>
      </c>
      <c r="M896" s="341"/>
      <c r="N896" s="341">
        <v>0</v>
      </c>
      <c r="O896" s="232"/>
      <c r="P896" s="232"/>
      <c r="Q896" s="232"/>
      <c r="R896" s="232"/>
      <c r="S896" s="232"/>
      <c r="T896" s="232"/>
    </row>
    <row r="897" spans="1:20" ht="25.5">
      <c r="A897" s="174">
        <v>355</v>
      </c>
      <c r="B897" s="326">
        <v>200</v>
      </c>
      <c r="C897" s="326">
        <v>404</v>
      </c>
      <c r="D897" s="326">
        <v>0</v>
      </c>
      <c r="E897" s="326">
        <v>0</v>
      </c>
      <c r="F897" s="326">
        <v>0</v>
      </c>
      <c r="G897" s="347" t="s">
        <v>3075</v>
      </c>
      <c r="H897" s="330" t="s">
        <v>1306</v>
      </c>
      <c r="I897" s="326"/>
      <c r="J897" s="326"/>
      <c r="K897" s="341">
        <f t="shared" si="14"/>
        <v>0</v>
      </c>
      <c r="L897" s="341">
        <v>0</v>
      </c>
      <c r="M897" s="341"/>
      <c r="N897" s="341">
        <v>0</v>
      </c>
      <c r="O897" s="232"/>
      <c r="P897" s="232"/>
      <c r="Q897" s="232"/>
      <c r="R897" s="232"/>
      <c r="S897" s="232"/>
      <c r="T897" s="232"/>
    </row>
    <row r="898" spans="1:20" ht="25.5">
      <c r="A898" s="174">
        <v>355</v>
      </c>
      <c r="B898" s="326">
        <v>200</v>
      </c>
      <c r="C898" s="326">
        <v>405</v>
      </c>
      <c r="D898" s="326">
        <v>0</v>
      </c>
      <c r="E898" s="326">
        <v>0</v>
      </c>
      <c r="F898" s="326">
        <v>0</v>
      </c>
      <c r="G898" s="347" t="s">
        <v>3076</v>
      </c>
      <c r="H898" s="330" t="s">
        <v>1307</v>
      </c>
      <c r="I898" s="326"/>
      <c r="J898" s="326"/>
      <c r="K898" s="341">
        <f t="shared" si="14"/>
        <v>0</v>
      </c>
      <c r="L898" s="341">
        <v>0</v>
      </c>
      <c r="M898" s="341"/>
      <c r="N898" s="341">
        <v>0</v>
      </c>
      <c r="O898" s="232"/>
      <c r="P898" s="232"/>
      <c r="Q898" s="232"/>
      <c r="R898" s="232"/>
      <c r="S898" s="232"/>
      <c r="T898" s="232"/>
    </row>
    <row r="899" spans="1:20" ht="25.5">
      <c r="A899" s="174">
        <v>355</v>
      </c>
      <c r="B899" s="326">
        <v>200</v>
      </c>
      <c r="C899" s="326">
        <v>406</v>
      </c>
      <c r="D899" s="326">
        <v>0</v>
      </c>
      <c r="E899" s="326">
        <v>0</v>
      </c>
      <c r="F899" s="326">
        <v>0</v>
      </c>
      <c r="G899" s="347" t="s">
        <v>3077</v>
      </c>
      <c r="H899" s="330" t="s">
        <v>1308</v>
      </c>
      <c r="I899" s="326"/>
      <c r="J899" s="326"/>
      <c r="K899" s="341">
        <f t="shared" si="14"/>
        <v>0</v>
      </c>
      <c r="L899" s="341">
        <v>0</v>
      </c>
      <c r="M899" s="341"/>
      <c r="N899" s="341">
        <v>0</v>
      </c>
      <c r="O899" s="232"/>
      <c r="P899" s="232"/>
      <c r="Q899" s="232"/>
      <c r="R899" s="232"/>
      <c r="S899" s="232"/>
      <c r="T899" s="232"/>
    </row>
    <row r="900" spans="1:20" ht="38.25">
      <c r="A900" s="174">
        <v>355</v>
      </c>
      <c r="B900" s="326">
        <v>200</v>
      </c>
      <c r="C900" s="326">
        <v>407</v>
      </c>
      <c r="D900" s="326">
        <v>0</v>
      </c>
      <c r="E900" s="326">
        <v>0</v>
      </c>
      <c r="F900" s="326">
        <v>0</v>
      </c>
      <c r="G900" s="347" t="s">
        <v>3078</v>
      </c>
      <c r="H900" s="330" t="s">
        <v>1309</v>
      </c>
      <c r="I900" s="326"/>
      <c r="J900" s="326"/>
      <c r="K900" s="341">
        <f t="shared" si="14"/>
        <v>0</v>
      </c>
      <c r="L900" s="341">
        <v>0</v>
      </c>
      <c r="M900" s="341"/>
      <c r="N900" s="341">
        <v>0</v>
      </c>
      <c r="O900" s="232"/>
      <c r="P900" s="232"/>
      <c r="Q900" s="232"/>
      <c r="R900" s="232"/>
      <c r="S900" s="232"/>
      <c r="T900" s="232"/>
    </row>
    <row r="901" spans="1:20" ht="25.5">
      <c r="A901" s="174">
        <v>355</v>
      </c>
      <c r="B901" s="326">
        <v>200</v>
      </c>
      <c r="C901" s="326">
        <v>408</v>
      </c>
      <c r="D901" s="326">
        <v>0</v>
      </c>
      <c r="E901" s="326">
        <v>0</v>
      </c>
      <c r="F901" s="326">
        <v>0</v>
      </c>
      <c r="G901" s="347" t="s">
        <v>3079</v>
      </c>
      <c r="H901" s="330" t="s">
        <v>1310</v>
      </c>
      <c r="I901" s="326"/>
      <c r="J901" s="326"/>
      <c r="K901" s="341">
        <f t="shared" si="14"/>
        <v>0</v>
      </c>
      <c r="L901" s="341">
        <v>0</v>
      </c>
      <c r="M901" s="341"/>
      <c r="N901" s="341">
        <v>0</v>
      </c>
      <c r="O901" s="232"/>
      <c r="P901" s="232"/>
      <c r="Q901" s="232"/>
      <c r="R901" s="232"/>
      <c r="S901" s="232"/>
      <c r="T901" s="232"/>
    </row>
    <row r="902" spans="1:20" ht="25.5">
      <c r="A902" s="174">
        <v>355</v>
      </c>
      <c r="B902" s="326">
        <v>200</v>
      </c>
      <c r="C902" s="326">
        <v>409</v>
      </c>
      <c r="D902" s="326">
        <v>0</v>
      </c>
      <c r="E902" s="326">
        <v>0</v>
      </c>
      <c r="F902" s="326">
        <v>0</v>
      </c>
      <c r="G902" s="347" t="s">
        <v>3080</v>
      </c>
      <c r="H902" s="330" t="s">
        <v>1311</v>
      </c>
      <c r="I902" s="326"/>
      <c r="J902" s="326"/>
      <c r="K902" s="341">
        <f t="shared" si="14"/>
        <v>0</v>
      </c>
      <c r="L902" s="341">
        <v>0</v>
      </c>
      <c r="M902" s="341"/>
      <c r="N902" s="341">
        <v>0</v>
      </c>
      <c r="O902" s="232"/>
      <c r="P902" s="232"/>
      <c r="Q902" s="232"/>
      <c r="R902" s="232"/>
      <c r="S902" s="232"/>
      <c r="T902" s="232"/>
    </row>
    <row r="903" spans="1:20" ht="25.5">
      <c r="A903" s="174">
        <v>355</v>
      </c>
      <c r="B903" s="326">
        <v>200</v>
      </c>
      <c r="C903" s="326">
        <v>410</v>
      </c>
      <c r="D903" s="326">
        <v>0</v>
      </c>
      <c r="E903" s="326">
        <v>0</v>
      </c>
      <c r="F903" s="326">
        <v>0</v>
      </c>
      <c r="G903" s="347" t="s">
        <v>3081</v>
      </c>
      <c r="H903" s="330" t="s">
        <v>1312</v>
      </c>
      <c r="I903" s="326"/>
      <c r="J903" s="326"/>
      <c r="K903" s="341">
        <f t="shared" si="14"/>
        <v>0</v>
      </c>
      <c r="L903" s="341">
        <v>0</v>
      </c>
      <c r="M903" s="341"/>
      <c r="N903" s="341">
        <v>0</v>
      </c>
      <c r="O903" s="232"/>
      <c r="P903" s="232"/>
      <c r="Q903" s="232"/>
      <c r="R903" s="232"/>
      <c r="S903" s="232"/>
      <c r="T903" s="232"/>
    </row>
    <row r="904" spans="1:20" ht="25.5">
      <c r="A904" s="174">
        <v>355</v>
      </c>
      <c r="B904" s="326">
        <v>200</v>
      </c>
      <c r="C904" s="326">
        <v>411</v>
      </c>
      <c r="D904" s="326">
        <v>0</v>
      </c>
      <c r="E904" s="326">
        <v>0</v>
      </c>
      <c r="F904" s="326">
        <v>0</v>
      </c>
      <c r="G904" s="347" t="s">
        <v>3082</v>
      </c>
      <c r="H904" s="330" t="s">
        <v>1313</v>
      </c>
      <c r="I904" s="326"/>
      <c r="J904" s="326"/>
      <c r="K904" s="341">
        <f t="shared" si="14"/>
        <v>0</v>
      </c>
      <c r="L904" s="341">
        <v>0</v>
      </c>
      <c r="M904" s="341"/>
      <c r="N904" s="341">
        <v>0</v>
      </c>
      <c r="O904" s="232"/>
      <c r="P904" s="232"/>
      <c r="Q904" s="232"/>
      <c r="R904" s="232"/>
      <c r="S904" s="232"/>
      <c r="T904" s="232"/>
    </row>
    <row r="905" spans="1:20" ht="25.5">
      <c r="A905" s="174">
        <v>355</v>
      </c>
      <c r="B905" s="326">
        <v>200</v>
      </c>
      <c r="C905" s="326">
        <v>412</v>
      </c>
      <c r="D905" s="326">
        <v>0</v>
      </c>
      <c r="E905" s="326">
        <v>0</v>
      </c>
      <c r="F905" s="326">
        <v>0</v>
      </c>
      <c r="G905" s="347" t="s">
        <v>3083</v>
      </c>
      <c r="H905" s="330" t="s">
        <v>1314</v>
      </c>
      <c r="I905" s="326"/>
      <c r="J905" s="326"/>
      <c r="K905" s="341">
        <f t="shared" si="14"/>
        <v>0</v>
      </c>
      <c r="L905" s="341">
        <v>0</v>
      </c>
      <c r="M905" s="341"/>
      <c r="N905" s="341">
        <v>0</v>
      </c>
      <c r="O905" s="232"/>
      <c r="P905" s="232"/>
      <c r="Q905" s="232"/>
      <c r="R905" s="232"/>
      <c r="S905" s="232"/>
      <c r="T905" s="232"/>
    </row>
    <row r="906" spans="1:20" ht="25.5">
      <c r="A906" s="174">
        <v>355</v>
      </c>
      <c r="B906" s="326">
        <v>200</v>
      </c>
      <c r="C906" s="326">
        <v>413</v>
      </c>
      <c r="D906" s="326">
        <v>0</v>
      </c>
      <c r="E906" s="326">
        <v>0</v>
      </c>
      <c r="F906" s="326">
        <v>0</v>
      </c>
      <c r="G906" s="347" t="s">
        <v>3084</v>
      </c>
      <c r="H906" s="330" t="s">
        <v>1315</v>
      </c>
      <c r="I906" s="326"/>
      <c r="J906" s="326"/>
      <c r="K906" s="341">
        <f t="shared" si="14"/>
        <v>0</v>
      </c>
      <c r="L906" s="341">
        <v>0</v>
      </c>
      <c r="M906" s="341"/>
      <c r="N906" s="341">
        <v>0</v>
      </c>
      <c r="O906" s="232"/>
      <c r="P906" s="232"/>
      <c r="Q906" s="232"/>
      <c r="R906" s="232"/>
      <c r="S906" s="232"/>
      <c r="T906" s="232"/>
    </row>
    <row r="907" spans="1:20" ht="38.25">
      <c r="A907" s="174">
        <v>355</v>
      </c>
      <c r="B907" s="326">
        <v>200</v>
      </c>
      <c r="C907" s="326">
        <v>414</v>
      </c>
      <c r="D907" s="326">
        <v>0</v>
      </c>
      <c r="E907" s="326">
        <v>0</v>
      </c>
      <c r="F907" s="326">
        <v>0</v>
      </c>
      <c r="G907" s="347" t="s">
        <v>3085</v>
      </c>
      <c r="H907" s="330" t="s">
        <v>1316</v>
      </c>
      <c r="I907" s="326"/>
      <c r="J907" s="326"/>
      <c r="K907" s="341">
        <f t="shared" si="14"/>
        <v>0</v>
      </c>
      <c r="L907" s="341">
        <v>0</v>
      </c>
      <c r="M907" s="341"/>
      <c r="N907" s="341">
        <v>0</v>
      </c>
      <c r="O907" s="232"/>
      <c r="P907" s="232"/>
      <c r="Q907" s="232"/>
      <c r="R907" s="232"/>
      <c r="S907" s="232"/>
      <c r="T907" s="232"/>
    </row>
    <row r="908" spans="1:20">
      <c r="A908" s="174">
        <v>355</v>
      </c>
      <c r="B908" s="326">
        <v>200</v>
      </c>
      <c r="C908" s="326">
        <v>415</v>
      </c>
      <c r="D908" s="326">
        <v>0</v>
      </c>
      <c r="E908" s="326">
        <v>0</v>
      </c>
      <c r="F908" s="326">
        <v>0</v>
      </c>
      <c r="G908" s="347" t="s">
        <v>3086</v>
      </c>
      <c r="H908" s="330" t="s">
        <v>1317</v>
      </c>
      <c r="I908" s="326"/>
      <c r="J908" s="326"/>
      <c r="K908" s="341">
        <f t="shared" si="14"/>
        <v>0</v>
      </c>
      <c r="L908" s="341">
        <v>0</v>
      </c>
      <c r="M908" s="341"/>
      <c r="N908" s="341">
        <v>0</v>
      </c>
      <c r="O908" s="232"/>
      <c r="P908" s="232"/>
      <c r="Q908" s="232"/>
      <c r="R908" s="232"/>
      <c r="S908" s="232"/>
      <c r="T908" s="232"/>
    </row>
    <row r="909" spans="1:20" ht="25.5">
      <c r="A909" s="174">
        <v>355</v>
      </c>
      <c r="B909" s="326">
        <v>200</v>
      </c>
      <c r="C909" s="326">
        <v>602</v>
      </c>
      <c r="D909" s="326">
        <v>0</v>
      </c>
      <c r="E909" s="326">
        <v>0</v>
      </c>
      <c r="F909" s="326">
        <v>0</v>
      </c>
      <c r="G909" s="347" t="s">
        <v>3087</v>
      </c>
      <c r="H909" s="330" t="s">
        <v>1318</v>
      </c>
      <c r="I909" s="326"/>
      <c r="J909" s="326"/>
      <c r="K909" s="341">
        <f t="shared" si="14"/>
        <v>0</v>
      </c>
      <c r="L909" s="341">
        <v>0</v>
      </c>
      <c r="M909" s="341"/>
      <c r="N909" s="341">
        <v>124985.4</v>
      </c>
      <c r="O909" s="232"/>
      <c r="P909" s="232"/>
      <c r="Q909" s="232"/>
      <c r="R909" s="232"/>
      <c r="S909" s="232"/>
      <c r="T909" s="232"/>
    </row>
    <row r="910" spans="1:20">
      <c r="A910" s="174">
        <v>355</v>
      </c>
      <c r="B910" s="326">
        <v>200</v>
      </c>
      <c r="C910" s="326">
        <v>603</v>
      </c>
      <c r="D910" s="326">
        <v>0</v>
      </c>
      <c r="E910" s="326">
        <v>0</v>
      </c>
      <c r="F910" s="326">
        <v>0</v>
      </c>
      <c r="G910" s="347" t="s">
        <v>3088</v>
      </c>
      <c r="H910" s="330" t="s">
        <v>1319</v>
      </c>
      <c r="I910" s="326"/>
      <c r="J910" s="326"/>
      <c r="K910" s="341">
        <f t="shared" si="14"/>
        <v>0</v>
      </c>
      <c r="L910" s="341">
        <v>0</v>
      </c>
      <c r="M910" s="341"/>
      <c r="N910" s="341">
        <v>0</v>
      </c>
      <c r="O910" s="232"/>
      <c r="P910" s="232"/>
      <c r="Q910" s="232"/>
      <c r="R910" s="232"/>
      <c r="S910" s="232"/>
      <c r="T910" s="232"/>
    </row>
    <row r="911" spans="1:20">
      <c r="A911" s="174">
        <v>355</v>
      </c>
      <c r="B911" s="326">
        <v>200</v>
      </c>
      <c r="C911" s="326">
        <v>700</v>
      </c>
      <c r="D911" s="326">
        <v>0</v>
      </c>
      <c r="E911" s="326">
        <v>0</v>
      </c>
      <c r="F911" s="326">
        <v>0</v>
      </c>
      <c r="G911" s="347" t="s">
        <v>3089</v>
      </c>
      <c r="H911" s="330" t="s">
        <v>1320</v>
      </c>
      <c r="I911" s="326"/>
      <c r="J911" s="326"/>
      <c r="K911" s="341">
        <f t="shared" si="14"/>
        <v>0</v>
      </c>
      <c r="L911" s="341">
        <v>0</v>
      </c>
      <c r="M911" s="341"/>
      <c r="N911" s="341">
        <v>0</v>
      </c>
      <c r="O911" s="232"/>
      <c r="P911" s="232"/>
      <c r="Q911" s="232"/>
      <c r="R911" s="232"/>
      <c r="S911" s="232"/>
      <c r="T911" s="232"/>
    </row>
    <row r="912" spans="1:20">
      <c r="A912" s="174">
        <v>355</v>
      </c>
      <c r="B912" s="326">
        <v>200</v>
      </c>
      <c r="C912" s="326">
        <v>701</v>
      </c>
      <c r="D912" s="326">
        <v>0</v>
      </c>
      <c r="E912" s="326">
        <v>0</v>
      </c>
      <c r="F912" s="326">
        <v>0</v>
      </c>
      <c r="G912" s="347" t="s">
        <v>3090</v>
      </c>
      <c r="H912" s="330" t="s">
        <v>1321</v>
      </c>
      <c r="I912" s="326"/>
      <c r="J912" s="326"/>
      <c r="K912" s="341">
        <f t="shared" si="14"/>
        <v>0</v>
      </c>
      <c r="L912" s="341">
        <v>0</v>
      </c>
      <c r="M912" s="341"/>
      <c r="N912" s="341">
        <v>0</v>
      </c>
      <c r="O912" s="232"/>
      <c r="P912" s="232"/>
      <c r="Q912" s="232"/>
      <c r="R912" s="232"/>
      <c r="S912" s="232"/>
      <c r="T912" s="232"/>
    </row>
    <row r="913" spans="1:20">
      <c r="A913" s="174">
        <v>355</v>
      </c>
      <c r="B913" s="326">
        <v>200</v>
      </c>
      <c r="C913" s="326">
        <v>702</v>
      </c>
      <c r="D913" s="326">
        <v>0</v>
      </c>
      <c r="E913" s="326">
        <v>0</v>
      </c>
      <c r="F913" s="326">
        <v>0</v>
      </c>
      <c r="G913" s="347" t="s">
        <v>3091</v>
      </c>
      <c r="H913" s="330" t="s">
        <v>1322</v>
      </c>
      <c r="I913" s="326"/>
      <c r="J913" s="326"/>
      <c r="K913" s="341">
        <f t="shared" si="14"/>
        <v>0</v>
      </c>
      <c r="L913" s="341">
        <v>0</v>
      </c>
      <c r="M913" s="341"/>
      <c r="N913" s="341">
        <v>0</v>
      </c>
      <c r="O913" s="232"/>
      <c r="P913" s="232"/>
      <c r="Q913" s="232"/>
      <c r="R913" s="232"/>
      <c r="S913" s="232"/>
      <c r="T913" s="232"/>
    </row>
    <row r="914" spans="1:20">
      <c r="A914" s="174">
        <v>355</v>
      </c>
      <c r="B914" s="326">
        <v>200</v>
      </c>
      <c r="C914" s="326">
        <v>900</v>
      </c>
      <c r="D914" s="326">
        <v>0</v>
      </c>
      <c r="E914" s="326">
        <v>0</v>
      </c>
      <c r="F914" s="326">
        <v>0</v>
      </c>
      <c r="G914" s="347" t="s">
        <v>3092</v>
      </c>
      <c r="H914" s="330" t="s">
        <v>1323</v>
      </c>
      <c r="I914" s="326"/>
      <c r="J914" s="326"/>
      <c r="K914" s="341">
        <f t="shared" si="14"/>
        <v>0</v>
      </c>
      <c r="L914" s="341">
        <v>0</v>
      </c>
      <c r="M914" s="341"/>
      <c r="N914" s="341">
        <v>187657.25</v>
      </c>
      <c r="O914" s="232"/>
      <c r="P914" s="232"/>
      <c r="Q914" s="232"/>
      <c r="R914" s="232"/>
      <c r="S914" s="232"/>
      <c r="T914" s="232"/>
    </row>
    <row r="915" spans="1:20">
      <c r="A915" s="174">
        <v>355</v>
      </c>
      <c r="B915" s="326">
        <v>200</v>
      </c>
      <c r="C915" s="326">
        <v>901</v>
      </c>
      <c r="D915" s="326">
        <v>0</v>
      </c>
      <c r="E915" s="326">
        <v>0</v>
      </c>
      <c r="F915" s="326">
        <v>0</v>
      </c>
      <c r="G915" s="347" t="s">
        <v>3093</v>
      </c>
      <c r="H915" s="330" t="s">
        <v>1324</v>
      </c>
      <c r="I915" s="326"/>
      <c r="J915" s="326"/>
      <c r="K915" s="341">
        <f t="shared" si="14"/>
        <v>0</v>
      </c>
      <c r="L915" s="341">
        <v>0</v>
      </c>
      <c r="M915" s="341"/>
      <c r="N915" s="341">
        <v>0</v>
      </c>
      <c r="O915" s="232"/>
      <c r="P915" s="232"/>
      <c r="Q915" s="232"/>
      <c r="R915" s="232"/>
      <c r="S915" s="232"/>
      <c r="T915" s="232"/>
    </row>
    <row r="916" spans="1:20">
      <c r="A916" s="174">
        <v>355</v>
      </c>
      <c r="B916" s="326">
        <v>200</v>
      </c>
      <c r="C916" s="326">
        <v>902</v>
      </c>
      <c r="D916" s="326">
        <v>0</v>
      </c>
      <c r="E916" s="326">
        <v>0</v>
      </c>
      <c r="F916" s="326">
        <v>0</v>
      </c>
      <c r="G916" s="347" t="s">
        <v>3094</v>
      </c>
      <c r="H916" s="330" t="s">
        <v>1325</v>
      </c>
      <c r="I916" s="326"/>
      <c r="J916" s="326"/>
      <c r="K916" s="341">
        <f t="shared" si="14"/>
        <v>0</v>
      </c>
      <c r="L916" s="341">
        <v>0</v>
      </c>
      <c r="M916" s="341"/>
      <c r="N916" s="341">
        <v>0</v>
      </c>
      <c r="O916" s="232"/>
      <c r="P916" s="232"/>
      <c r="Q916" s="232"/>
      <c r="R916" s="232"/>
      <c r="S916" s="232"/>
      <c r="T916" s="232"/>
    </row>
    <row r="917" spans="1:20" ht="25.5">
      <c r="A917" s="174">
        <v>355</v>
      </c>
      <c r="B917" s="326">
        <v>200</v>
      </c>
      <c r="C917" s="326">
        <v>903</v>
      </c>
      <c r="D917" s="326">
        <v>0</v>
      </c>
      <c r="E917" s="326">
        <v>0</v>
      </c>
      <c r="F917" s="326">
        <v>0</v>
      </c>
      <c r="G917" s="347" t="s">
        <v>3095</v>
      </c>
      <c r="H917" s="330" t="s">
        <v>1326</v>
      </c>
      <c r="I917" s="326"/>
      <c r="J917" s="326"/>
      <c r="K917" s="341">
        <f t="shared" si="14"/>
        <v>0</v>
      </c>
      <c r="L917" s="341">
        <v>0</v>
      </c>
      <c r="M917" s="341"/>
      <c r="N917" s="341">
        <v>0</v>
      </c>
      <c r="O917" s="232"/>
      <c r="P917" s="232"/>
      <c r="Q917" s="232"/>
      <c r="R917" s="232"/>
      <c r="S917" s="232"/>
      <c r="T917" s="232"/>
    </row>
    <row r="918" spans="1:20">
      <c r="A918" s="174">
        <v>355</v>
      </c>
      <c r="B918" s="326">
        <v>200</v>
      </c>
      <c r="C918" s="326">
        <v>990</v>
      </c>
      <c r="D918" s="326">
        <v>0</v>
      </c>
      <c r="E918" s="326">
        <v>0</v>
      </c>
      <c r="F918" s="326">
        <v>0</v>
      </c>
      <c r="G918" s="347" t="s">
        <v>3096</v>
      </c>
      <c r="H918" s="330" t="s">
        <v>1327</v>
      </c>
      <c r="I918" s="326"/>
      <c r="J918" s="326"/>
      <c r="K918" s="341">
        <f t="shared" si="14"/>
        <v>4012</v>
      </c>
      <c r="L918" s="341">
        <v>4012</v>
      </c>
      <c r="M918" s="341"/>
      <c r="N918" s="341">
        <v>0</v>
      </c>
      <c r="O918" s="232"/>
      <c r="P918" s="232"/>
      <c r="Q918" s="232"/>
      <c r="R918" s="232"/>
      <c r="S918" s="232"/>
      <c r="T918" s="232"/>
    </row>
    <row r="919" spans="1:20">
      <c r="A919" s="404">
        <v>360</v>
      </c>
      <c r="B919" s="405">
        <v>0</v>
      </c>
      <c r="C919" s="405">
        <v>0</v>
      </c>
      <c r="D919" s="405">
        <v>0</v>
      </c>
      <c r="E919" s="405">
        <v>0</v>
      </c>
      <c r="F919" s="405">
        <v>0</v>
      </c>
      <c r="G919" s="339">
        <v>360</v>
      </c>
      <c r="H919" s="339" t="s">
        <v>73</v>
      </c>
      <c r="I919" s="52" t="s">
        <v>1328</v>
      </c>
      <c r="J919" s="52"/>
      <c r="K919" s="335">
        <f t="shared" si="14"/>
        <v>0</v>
      </c>
      <c r="L919" s="335">
        <v>0</v>
      </c>
      <c r="M919" s="335"/>
      <c r="N919" s="335">
        <v>0</v>
      </c>
      <c r="O919" s="232"/>
      <c r="P919" s="232"/>
      <c r="Q919" s="232"/>
      <c r="R919" s="232"/>
      <c r="S919" s="232"/>
      <c r="T919" s="232"/>
    </row>
    <row r="920" spans="1:20">
      <c r="A920" s="174">
        <v>360</v>
      </c>
      <c r="B920" s="326">
        <v>100</v>
      </c>
      <c r="C920" s="326">
        <v>0</v>
      </c>
      <c r="D920" s="326">
        <v>0</v>
      </c>
      <c r="E920" s="326">
        <v>0</v>
      </c>
      <c r="F920" s="326">
        <v>0</v>
      </c>
      <c r="G920" s="330" t="s">
        <v>3097</v>
      </c>
      <c r="H920" s="330" t="s">
        <v>1329</v>
      </c>
      <c r="I920" s="326" t="s">
        <v>1330</v>
      </c>
      <c r="J920" s="325"/>
      <c r="K920" s="335">
        <f t="shared" si="14"/>
        <v>0</v>
      </c>
      <c r="L920" s="335">
        <v>0</v>
      </c>
      <c r="M920" s="335"/>
      <c r="N920" s="335">
        <v>0</v>
      </c>
      <c r="O920" s="232"/>
      <c r="P920" s="232"/>
      <c r="Q920" s="232"/>
      <c r="R920" s="232"/>
      <c r="S920" s="232"/>
      <c r="T920" s="232"/>
    </row>
    <row r="921" spans="1:20">
      <c r="A921" s="174">
        <v>360</v>
      </c>
      <c r="B921" s="326">
        <v>100</v>
      </c>
      <c r="C921" s="326">
        <v>10</v>
      </c>
      <c r="D921" s="326">
        <v>0</v>
      </c>
      <c r="E921" s="326">
        <v>0</v>
      </c>
      <c r="F921" s="326">
        <v>0</v>
      </c>
      <c r="G921" s="330" t="s">
        <v>3098</v>
      </c>
      <c r="H921" s="330" t="s">
        <v>539</v>
      </c>
      <c r="I921" s="326" t="s">
        <v>1331</v>
      </c>
      <c r="J921" s="326"/>
      <c r="K921" s="334">
        <f t="shared" si="14"/>
        <v>14002.09</v>
      </c>
      <c r="L921" s="334">
        <v>14002.09</v>
      </c>
      <c r="M921" s="334"/>
      <c r="N921" s="334">
        <v>5717.74</v>
      </c>
      <c r="O921" s="232"/>
      <c r="P921" s="232"/>
      <c r="Q921" s="232"/>
      <c r="R921" s="232"/>
      <c r="S921" s="232"/>
      <c r="T921" s="232"/>
    </row>
    <row r="922" spans="1:20">
      <c r="A922" s="174">
        <v>360</v>
      </c>
      <c r="B922" s="326">
        <v>100</v>
      </c>
      <c r="C922" s="326">
        <v>20</v>
      </c>
      <c r="D922" s="326">
        <v>0</v>
      </c>
      <c r="E922" s="326">
        <v>0</v>
      </c>
      <c r="F922" s="326">
        <v>0</v>
      </c>
      <c r="G922" s="330" t="s">
        <v>3099</v>
      </c>
      <c r="H922" s="330" t="s">
        <v>556</v>
      </c>
      <c r="I922" s="326" t="s">
        <v>1332</v>
      </c>
      <c r="J922" s="326"/>
      <c r="K922" s="334">
        <f t="shared" si="14"/>
        <v>0</v>
      </c>
      <c r="L922" s="334">
        <v>0</v>
      </c>
      <c r="M922" s="334"/>
      <c r="N922" s="334">
        <v>0</v>
      </c>
      <c r="O922" s="232"/>
      <c r="P922" s="232"/>
      <c r="Q922" s="232"/>
      <c r="R922" s="232"/>
      <c r="S922" s="232"/>
      <c r="T922" s="232"/>
    </row>
    <row r="923" spans="1:20">
      <c r="A923" s="174">
        <v>360</v>
      </c>
      <c r="B923" s="326">
        <v>100</v>
      </c>
      <c r="C923" s="326">
        <v>30</v>
      </c>
      <c r="D923" s="326">
        <v>0</v>
      </c>
      <c r="E923" s="326">
        <v>0</v>
      </c>
      <c r="F923" s="326">
        <v>0</v>
      </c>
      <c r="G923" s="330" t="s">
        <v>3100</v>
      </c>
      <c r="H923" s="330" t="s">
        <v>564</v>
      </c>
      <c r="I923" s="326" t="s">
        <v>1333</v>
      </c>
      <c r="J923" s="326"/>
      <c r="K923" s="334">
        <f t="shared" si="14"/>
        <v>348173.56</v>
      </c>
      <c r="L923" s="334">
        <v>348173.56</v>
      </c>
      <c r="M923" s="334"/>
      <c r="N923" s="334">
        <v>-187340.92</v>
      </c>
      <c r="O923" s="232"/>
      <c r="P923" s="232"/>
      <c r="Q923" s="232"/>
      <c r="R923" s="232"/>
      <c r="S923" s="232"/>
      <c r="T923" s="232"/>
    </row>
    <row r="924" spans="1:20">
      <c r="A924" s="174">
        <v>360</v>
      </c>
      <c r="B924" s="326">
        <v>100</v>
      </c>
      <c r="C924" s="326">
        <v>40</v>
      </c>
      <c r="D924" s="326">
        <v>0</v>
      </c>
      <c r="E924" s="326">
        <v>0</v>
      </c>
      <c r="F924" s="326">
        <v>0</v>
      </c>
      <c r="G924" s="330" t="s">
        <v>3101</v>
      </c>
      <c r="H924" s="330" t="s">
        <v>572</v>
      </c>
      <c r="I924" s="326" t="s">
        <v>1334</v>
      </c>
      <c r="J924" s="326"/>
      <c r="K924" s="334">
        <f t="shared" si="14"/>
        <v>-153.51</v>
      </c>
      <c r="L924" s="334">
        <v>-153.51</v>
      </c>
      <c r="M924" s="334"/>
      <c r="N924" s="334">
        <v>-784.83</v>
      </c>
      <c r="O924" s="232"/>
      <c r="P924" s="232"/>
      <c r="Q924" s="232"/>
      <c r="R924" s="232"/>
      <c r="S924" s="232"/>
      <c r="T924" s="232"/>
    </row>
    <row r="925" spans="1:20">
      <c r="A925" s="174">
        <v>360</v>
      </c>
      <c r="B925" s="326">
        <v>100</v>
      </c>
      <c r="C925" s="326">
        <v>50</v>
      </c>
      <c r="D925" s="326">
        <v>0</v>
      </c>
      <c r="E925" s="326">
        <v>0</v>
      </c>
      <c r="F925" s="326">
        <v>0</v>
      </c>
      <c r="G925" s="330" t="s">
        <v>3102</v>
      </c>
      <c r="H925" s="330" t="s">
        <v>574</v>
      </c>
      <c r="I925" s="326" t="s">
        <v>1335</v>
      </c>
      <c r="J925" s="326"/>
      <c r="K925" s="334">
        <f t="shared" si="14"/>
        <v>0</v>
      </c>
      <c r="L925" s="334">
        <v>0</v>
      </c>
      <c r="M925" s="334"/>
      <c r="N925" s="334">
        <v>0</v>
      </c>
      <c r="O925" s="232"/>
      <c r="P925" s="232"/>
      <c r="Q925" s="232"/>
      <c r="R925" s="232"/>
      <c r="S925" s="232"/>
      <c r="T925" s="232"/>
    </row>
    <row r="926" spans="1:20">
      <c r="A926" s="174">
        <v>360</v>
      </c>
      <c r="B926" s="326">
        <v>100</v>
      </c>
      <c r="C926" s="326">
        <v>60</v>
      </c>
      <c r="D926" s="326">
        <v>0</v>
      </c>
      <c r="E926" s="326">
        <v>0</v>
      </c>
      <c r="F926" s="326">
        <v>0</v>
      </c>
      <c r="G926" s="330" t="s">
        <v>3103</v>
      </c>
      <c r="H926" s="330" t="s">
        <v>576</v>
      </c>
      <c r="I926" s="326" t="s">
        <v>1336</v>
      </c>
      <c r="J926" s="326"/>
      <c r="K926" s="334">
        <f t="shared" si="14"/>
        <v>-7310.42</v>
      </c>
      <c r="L926" s="334">
        <v>-7310.42</v>
      </c>
      <c r="M926" s="334"/>
      <c r="N926" s="334">
        <v>-20348.38</v>
      </c>
      <c r="O926" s="232"/>
      <c r="P926" s="232"/>
      <c r="Q926" s="232"/>
      <c r="R926" s="232"/>
      <c r="S926" s="232"/>
      <c r="T926" s="232"/>
    </row>
    <row r="927" spans="1:20">
      <c r="A927" s="174">
        <v>360</v>
      </c>
      <c r="B927" s="326">
        <v>100</v>
      </c>
      <c r="C927" s="326">
        <v>70</v>
      </c>
      <c r="D927" s="326">
        <v>0</v>
      </c>
      <c r="E927" s="326">
        <v>0</v>
      </c>
      <c r="F927" s="326">
        <v>0</v>
      </c>
      <c r="G927" s="330" t="s">
        <v>3104</v>
      </c>
      <c r="H927" s="330" t="s">
        <v>578</v>
      </c>
      <c r="I927" s="326" t="s">
        <v>1337</v>
      </c>
      <c r="J927" s="326"/>
      <c r="K927" s="334">
        <f t="shared" si="14"/>
        <v>0</v>
      </c>
      <c r="L927" s="334">
        <v>0</v>
      </c>
      <c r="M927" s="334"/>
      <c r="N927" s="334">
        <v>0</v>
      </c>
      <c r="O927" s="232"/>
      <c r="P927" s="232"/>
      <c r="Q927" s="232"/>
      <c r="R927" s="232"/>
      <c r="S927" s="232"/>
      <c r="T927" s="232"/>
    </row>
    <row r="928" spans="1:20">
      <c r="A928" s="174">
        <v>360</v>
      </c>
      <c r="B928" s="326">
        <v>100</v>
      </c>
      <c r="C928" s="326">
        <v>80</v>
      </c>
      <c r="D928" s="326">
        <v>0</v>
      </c>
      <c r="E928" s="326">
        <v>0</v>
      </c>
      <c r="F928" s="326">
        <v>0</v>
      </c>
      <c r="G928" s="330" t="s">
        <v>3105</v>
      </c>
      <c r="H928" s="330" t="s">
        <v>590</v>
      </c>
      <c r="I928" s="326" t="s">
        <v>1338</v>
      </c>
      <c r="J928" s="326"/>
      <c r="K928" s="334">
        <f t="shared" si="14"/>
        <v>-107602.77</v>
      </c>
      <c r="L928" s="334">
        <v>-107602.77</v>
      </c>
      <c r="M928" s="334"/>
      <c r="N928" s="334">
        <v>-18701.11</v>
      </c>
      <c r="O928" s="232"/>
      <c r="P928" s="232"/>
      <c r="Q928" s="232"/>
      <c r="R928" s="232"/>
      <c r="S928" s="232"/>
      <c r="T928" s="232"/>
    </row>
    <row r="929" spans="1:20">
      <c r="A929" s="174">
        <v>360</v>
      </c>
      <c r="B929" s="326">
        <v>200</v>
      </c>
      <c r="C929" s="326">
        <v>0</v>
      </c>
      <c r="D929" s="326">
        <v>0</v>
      </c>
      <c r="E929" s="326">
        <v>0</v>
      </c>
      <c r="F929" s="326">
        <v>0</v>
      </c>
      <c r="G929" s="330" t="s">
        <v>3106</v>
      </c>
      <c r="H929" s="330" t="s">
        <v>1339</v>
      </c>
      <c r="I929" s="326" t="s">
        <v>1340</v>
      </c>
      <c r="J929" s="325"/>
      <c r="K929" s="335">
        <f t="shared" si="14"/>
        <v>0</v>
      </c>
      <c r="L929" s="335">
        <v>0</v>
      </c>
      <c r="M929" s="335"/>
      <c r="N929" s="335">
        <v>0</v>
      </c>
      <c r="O929" s="232"/>
      <c r="P929" s="232"/>
      <c r="Q929" s="232"/>
      <c r="R929" s="232"/>
      <c r="S929" s="232"/>
      <c r="T929" s="232"/>
    </row>
    <row r="930" spans="1:20">
      <c r="A930" s="174">
        <v>360</v>
      </c>
      <c r="B930" s="326">
        <v>200</v>
      </c>
      <c r="C930" s="326">
        <v>10</v>
      </c>
      <c r="D930" s="325">
        <v>0</v>
      </c>
      <c r="E930" s="325">
        <v>0</v>
      </c>
      <c r="F930" s="325">
        <v>0</v>
      </c>
      <c r="G930" s="345" t="s">
        <v>3107</v>
      </c>
      <c r="H930" s="345" t="s">
        <v>594</v>
      </c>
      <c r="I930" s="326" t="s">
        <v>1341</v>
      </c>
      <c r="J930" s="325"/>
      <c r="K930" s="336">
        <f t="shared" si="14"/>
        <v>-31.68</v>
      </c>
      <c r="L930" s="336">
        <v>-31.68</v>
      </c>
      <c r="M930" s="336"/>
      <c r="N930" s="336">
        <v>-40.32</v>
      </c>
      <c r="O930" s="232"/>
      <c r="P930" s="232"/>
      <c r="Q930" s="232"/>
      <c r="R930" s="232"/>
      <c r="S930" s="232"/>
      <c r="T930" s="232"/>
    </row>
    <row r="931" spans="1:20" ht="25.5">
      <c r="A931" s="174">
        <v>360</v>
      </c>
      <c r="B931" s="326">
        <v>200</v>
      </c>
      <c r="C931" s="326">
        <v>20</v>
      </c>
      <c r="D931" s="325">
        <v>0</v>
      </c>
      <c r="E931" s="325">
        <v>0</v>
      </c>
      <c r="F931" s="325">
        <v>0</v>
      </c>
      <c r="G931" s="345" t="s">
        <v>3108</v>
      </c>
      <c r="H931" s="345" t="s">
        <v>596</v>
      </c>
      <c r="I931" s="326" t="s">
        <v>1342</v>
      </c>
      <c r="J931" s="325"/>
      <c r="K931" s="336">
        <f t="shared" si="14"/>
        <v>-274.01</v>
      </c>
      <c r="L931" s="336">
        <v>-274.01</v>
      </c>
      <c r="M931" s="336"/>
      <c r="N931" s="336">
        <v>-518.5</v>
      </c>
      <c r="O931" s="232"/>
      <c r="P931" s="232"/>
      <c r="Q931" s="232"/>
      <c r="R931" s="232"/>
      <c r="S931" s="232"/>
      <c r="T931" s="232"/>
    </row>
    <row r="932" spans="1:20">
      <c r="A932" s="174">
        <v>360</v>
      </c>
      <c r="B932" s="326">
        <v>200</v>
      </c>
      <c r="C932" s="326">
        <v>30</v>
      </c>
      <c r="D932" s="325">
        <v>0</v>
      </c>
      <c r="E932" s="325">
        <v>0</v>
      </c>
      <c r="F932" s="325">
        <v>0</v>
      </c>
      <c r="G932" s="345" t="s">
        <v>3109</v>
      </c>
      <c r="H932" s="345" t="s">
        <v>598</v>
      </c>
      <c r="I932" s="326" t="s">
        <v>1343</v>
      </c>
      <c r="J932" s="325"/>
      <c r="K932" s="336">
        <f t="shared" si="14"/>
        <v>0</v>
      </c>
      <c r="L932" s="336">
        <v>0</v>
      </c>
      <c r="M932" s="336"/>
      <c r="N932" s="336">
        <v>0</v>
      </c>
      <c r="O932" s="232"/>
      <c r="P932" s="232"/>
      <c r="Q932" s="232"/>
      <c r="R932" s="232"/>
      <c r="S932" s="232"/>
      <c r="T932" s="232"/>
    </row>
    <row r="933" spans="1:20">
      <c r="A933" s="174">
        <v>360</v>
      </c>
      <c r="B933" s="326">
        <v>200</v>
      </c>
      <c r="C933" s="326">
        <v>40</v>
      </c>
      <c r="D933" s="325">
        <v>0</v>
      </c>
      <c r="E933" s="325">
        <v>0</v>
      </c>
      <c r="F933" s="325">
        <v>0</v>
      </c>
      <c r="G933" s="345" t="s">
        <v>3110</v>
      </c>
      <c r="H933" s="345" t="s">
        <v>600</v>
      </c>
      <c r="I933" s="326" t="s">
        <v>1344</v>
      </c>
      <c r="J933" s="325"/>
      <c r="K933" s="336">
        <f t="shared" si="14"/>
        <v>3997.17</v>
      </c>
      <c r="L933" s="336">
        <v>3997.17</v>
      </c>
      <c r="M933" s="336"/>
      <c r="N933" s="336">
        <v>-9917.2199999999993</v>
      </c>
      <c r="O933" s="232"/>
      <c r="P933" s="232"/>
      <c r="Q933" s="232"/>
      <c r="R933" s="232"/>
      <c r="S933" s="232"/>
      <c r="T933" s="232"/>
    </row>
    <row r="934" spans="1:20">
      <c r="A934" s="174">
        <v>360</v>
      </c>
      <c r="B934" s="326">
        <v>200</v>
      </c>
      <c r="C934" s="326">
        <v>50</v>
      </c>
      <c r="D934" s="325">
        <v>0</v>
      </c>
      <c r="E934" s="325">
        <v>0</v>
      </c>
      <c r="F934" s="325">
        <v>0</v>
      </c>
      <c r="G934" s="345" t="s">
        <v>3111</v>
      </c>
      <c r="H934" s="345" t="s">
        <v>605</v>
      </c>
      <c r="I934" s="326" t="s">
        <v>1345</v>
      </c>
      <c r="J934" s="325"/>
      <c r="K934" s="336">
        <f t="shared" si="14"/>
        <v>-1744.84</v>
      </c>
      <c r="L934" s="336">
        <v>-1744.84</v>
      </c>
      <c r="M934" s="336"/>
      <c r="N934" s="336">
        <v>588.71</v>
      </c>
      <c r="O934" s="232"/>
      <c r="P934" s="232"/>
      <c r="Q934" s="232"/>
      <c r="R934" s="232"/>
      <c r="S934" s="232"/>
      <c r="T934" s="232"/>
    </row>
    <row r="935" spans="1:20">
      <c r="A935" s="174">
        <v>360</v>
      </c>
      <c r="B935" s="326">
        <v>200</v>
      </c>
      <c r="C935" s="326">
        <v>60</v>
      </c>
      <c r="D935" s="325">
        <v>0</v>
      </c>
      <c r="E935" s="325">
        <v>0</v>
      </c>
      <c r="F935" s="325">
        <v>0</v>
      </c>
      <c r="G935" s="345" t="s">
        <v>3112</v>
      </c>
      <c r="H935" s="345" t="s">
        <v>2108</v>
      </c>
      <c r="I935" s="326" t="s">
        <v>1346</v>
      </c>
      <c r="J935" s="325"/>
      <c r="K935" s="336">
        <f t="shared" si="14"/>
        <v>-21858.11</v>
      </c>
      <c r="L935" s="336">
        <v>-21858.11</v>
      </c>
      <c r="M935" s="336"/>
      <c r="N935" s="336">
        <v>11649.51</v>
      </c>
      <c r="O935" s="232"/>
      <c r="P935" s="232"/>
      <c r="Q935" s="232"/>
      <c r="R935" s="232"/>
      <c r="S935" s="232"/>
      <c r="T935" s="232"/>
    </row>
    <row r="936" spans="1:20">
      <c r="A936" s="404">
        <v>365</v>
      </c>
      <c r="B936" s="405">
        <v>0</v>
      </c>
      <c r="C936" s="405">
        <v>0</v>
      </c>
      <c r="D936" s="405">
        <v>0</v>
      </c>
      <c r="E936" s="405">
        <v>0</v>
      </c>
      <c r="F936" s="405">
        <v>0</v>
      </c>
      <c r="G936" s="339">
        <v>365</v>
      </c>
      <c r="H936" s="339" t="s">
        <v>1347</v>
      </c>
      <c r="I936" s="52" t="s">
        <v>1348</v>
      </c>
      <c r="J936" s="52"/>
      <c r="K936" s="335">
        <f t="shared" si="14"/>
        <v>0</v>
      </c>
      <c r="L936" s="335">
        <v>0</v>
      </c>
      <c r="M936" s="335"/>
      <c r="N936" s="335">
        <v>0</v>
      </c>
      <c r="O936" s="232"/>
      <c r="P936" s="232"/>
      <c r="Q936" s="232"/>
      <c r="R936" s="232"/>
      <c r="S936" s="232"/>
      <c r="T936" s="232"/>
    </row>
    <row r="937" spans="1:20">
      <c r="A937" s="174">
        <v>365</v>
      </c>
      <c r="B937" s="326">
        <v>100</v>
      </c>
      <c r="C937" s="326">
        <v>0</v>
      </c>
      <c r="D937" s="326">
        <v>0</v>
      </c>
      <c r="E937" s="326">
        <v>0</v>
      </c>
      <c r="F937" s="326">
        <v>0</v>
      </c>
      <c r="G937" s="331" t="s">
        <v>3113</v>
      </c>
      <c r="H937" s="331" t="s">
        <v>1349</v>
      </c>
      <c r="I937" s="326" t="s">
        <v>1350</v>
      </c>
      <c r="J937" s="325"/>
      <c r="K937" s="335">
        <f t="shared" si="14"/>
        <v>0</v>
      </c>
      <c r="L937" s="335">
        <v>0</v>
      </c>
      <c r="M937" s="335"/>
      <c r="N937" s="335">
        <v>0</v>
      </c>
      <c r="O937" s="232"/>
      <c r="P937" s="232"/>
      <c r="Q937" s="232"/>
      <c r="R937" s="232"/>
      <c r="S937" s="232"/>
      <c r="T937" s="232"/>
    </row>
    <row r="938" spans="1:20">
      <c r="A938" s="174">
        <v>365</v>
      </c>
      <c r="B938" s="326">
        <v>100</v>
      </c>
      <c r="C938" s="326">
        <v>100</v>
      </c>
      <c r="D938" s="326">
        <v>0</v>
      </c>
      <c r="E938" s="326">
        <v>0</v>
      </c>
      <c r="F938" s="326">
        <v>0</v>
      </c>
      <c r="G938" s="330" t="s">
        <v>3114</v>
      </c>
      <c r="H938" s="330" t="s">
        <v>1351</v>
      </c>
      <c r="I938" s="326" t="s">
        <v>1352</v>
      </c>
      <c r="J938" s="326"/>
      <c r="K938" s="334">
        <f t="shared" si="14"/>
        <v>0</v>
      </c>
      <c r="L938" s="334">
        <v>0</v>
      </c>
      <c r="M938" s="334"/>
      <c r="N938" s="334">
        <v>5259.03</v>
      </c>
      <c r="O938" s="232"/>
      <c r="P938" s="232"/>
      <c r="Q938" s="232"/>
      <c r="R938" s="232"/>
      <c r="S938" s="232"/>
      <c r="T938" s="232"/>
    </row>
    <row r="939" spans="1:20" ht="25.5">
      <c r="A939" s="174">
        <v>365</v>
      </c>
      <c r="B939" s="326">
        <v>100</v>
      </c>
      <c r="C939" s="326">
        <v>200</v>
      </c>
      <c r="D939" s="326">
        <v>0</v>
      </c>
      <c r="E939" s="326">
        <v>0</v>
      </c>
      <c r="F939" s="326">
        <v>0</v>
      </c>
      <c r="G939" s="330" t="s">
        <v>3115</v>
      </c>
      <c r="H939" s="330" t="s">
        <v>1353</v>
      </c>
      <c r="I939" s="326" t="s">
        <v>1354</v>
      </c>
      <c r="J939" s="326"/>
      <c r="K939" s="334">
        <f t="shared" si="14"/>
        <v>0</v>
      </c>
      <c r="L939" s="334">
        <v>0</v>
      </c>
      <c r="M939" s="334"/>
      <c r="N939" s="334">
        <v>25350.22</v>
      </c>
      <c r="O939" s="232"/>
      <c r="P939" s="232"/>
      <c r="Q939" s="232"/>
      <c r="R939" s="232"/>
      <c r="S939" s="232"/>
      <c r="T939" s="232"/>
    </row>
    <row r="940" spans="1:20" ht="25.5">
      <c r="A940" s="174">
        <v>365</v>
      </c>
      <c r="B940" s="326">
        <v>100</v>
      </c>
      <c r="C940" s="326">
        <v>300</v>
      </c>
      <c r="D940" s="326">
        <v>0</v>
      </c>
      <c r="E940" s="326">
        <v>0</v>
      </c>
      <c r="F940" s="326">
        <v>0</v>
      </c>
      <c r="G940" s="330" t="s">
        <v>3116</v>
      </c>
      <c r="H940" s="330" t="s">
        <v>1355</v>
      </c>
      <c r="I940" s="326" t="s">
        <v>1356</v>
      </c>
      <c r="J940" s="326"/>
      <c r="K940" s="334">
        <f t="shared" si="14"/>
        <v>0</v>
      </c>
      <c r="L940" s="334">
        <v>0</v>
      </c>
      <c r="M940" s="334"/>
      <c r="N940" s="334">
        <v>0</v>
      </c>
      <c r="O940" s="232"/>
      <c r="P940" s="232"/>
      <c r="Q940" s="232"/>
      <c r="R940" s="232"/>
      <c r="S940" s="232"/>
      <c r="T940" s="232"/>
    </row>
    <row r="941" spans="1:20" ht="25.5">
      <c r="A941" s="174">
        <v>365</v>
      </c>
      <c r="B941" s="326">
        <v>100</v>
      </c>
      <c r="C941" s="326">
        <v>400</v>
      </c>
      <c r="D941" s="326">
        <v>0</v>
      </c>
      <c r="E941" s="326">
        <v>0</v>
      </c>
      <c r="F941" s="326">
        <v>0</v>
      </c>
      <c r="G941" s="330" t="s">
        <v>3117</v>
      </c>
      <c r="H941" s="330" t="s">
        <v>1357</v>
      </c>
      <c r="I941" s="326" t="s">
        <v>1358</v>
      </c>
      <c r="J941" s="326"/>
      <c r="K941" s="334">
        <f t="shared" si="14"/>
        <v>0</v>
      </c>
      <c r="L941" s="334">
        <v>0</v>
      </c>
      <c r="M941" s="334"/>
      <c r="N941" s="334">
        <v>0</v>
      </c>
      <c r="O941" s="232"/>
      <c r="P941" s="232"/>
      <c r="Q941" s="232"/>
      <c r="R941" s="232"/>
      <c r="S941" s="232"/>
      <c r="T941" s="232"/>
    </row>
    <row r="942" spans="1:20">
      <c r="A942" s="174">
        <v>365</v>
      </c>
      <c r="B942" s="326">
        <v>100</v>
      </c>
      <c r="C942" s="326">
        <v>450</v>
      </c>
      <c r="D942" s="326">
        <v>0</v>
      </c>
      <c r="E942" s="326">
        <v>0</v>
      </c>
      <c r="F942" s="326">
        <v>0</v>
      </c>
      <c r="G942" s="330" t="s">
        <v>3118</v>
      </c>
      <c r="H942" s="330" t="s">
        <v>1359</v>
      </c>
      <c r="I942" s="326" t="s">
        <v>1360</v>
      </c>
      <c r="J942" s="325"/>
      <c r="K942" s="336">
        <f t="shared" si="14"/>
        <v>0</v>
      </c>
      <c r="L942" s="336">
        <v>0</v>
      </c>
      <c r="M942" s="336"/>
      <c r="N942" s="336">
        <v>0</v>
      </c>
      <c r="O942" s="232"/>
      <c r="P942" s="232"/>
      <c r="Q942" s="232"/>
      <c r="R942" s="232"/>
      <c r="S942" s="232"/>
      <c r="T942" s="232"/>
    </row>
    <row r="943" spans="1:20">
      <c r="A943" s="174">
        <v>365</v>
      </c>
      <c r="B943" s="326">
        <v>100</v>
      </c>
      <c r="C943" s="326">
        <v>500</v>
      </c>
      <c r="D943" s="326">
        <v>0</v>
      </c>
      <c r="E943" s="326">
        <v>0</v>
      </c>
      <c r="F943" s="326">
        <v>0</v>
      </c>
      <c r="G943" s="331" t="s">
        <v>3119</v>
      </c>
      <c r="H943" s="331" t="s">
        <v>1361</v>
      </c>
      <c r="I943" s="326" t="s">
        <v>1362</v>
      </c>
      <c r="J943" s="325"/>
      <c r="K943" s="335">
        <f t="shared" si="14"/>
        <v>0</v>
      </c>
      <c r="L943" s="335">
        <v>0</v>
      </c>
      <c r="M943" s="335"/>
      <c r="N943" s="335">
        <v>0</v>
      </c>
      <c r="O943" s="232"/>
      <c r="P943" s="232"/>
      <c r="Q943" s="232"/>
      <c r="R943" s="232"/>
      <c r="S943" s="232"/>
      <c r="T943" s="232"/>
    </row>
    <row r="944" spans="1:20">
      <c r="A944" s="174">
        <v>365</v>
      </c>
      <c r="B944" s="326">
        <v>100</v>
      </c>
      <c r="C944" s="326">
        <v>500</v>
      </c>
      <c r="D944" s="326">
        <v>100</v>
      </c>
      <c r="E944" s="326">
        <v>0</v>
      </c>
      <c r="F944" s="326">
        <v>0</v>
      </c>
      <c r="G944" s="345" t="s">
        <v>3120</v>
      </c>
      <c r="H944" s="345" t="s">
        <v>1363</v>
      </c>
      <c r="I944" s="326"/>
      <c r="J944" s="325"/>
      <c r="K944" s="349">
        <f t="shared" si="14"/>
        <v>0</v>
      </c>
      <c r="L944" s="349">
        <v>0</v>
      </c>
      <c r="M944" s="349"/>
      <c r="N944" s="349">
        <v>0</v>
      </c>
      <c r="O944" s="232"/>
      <c r="P944" s="232"/>
      <c r="Q944" s="232"/>
      <c r="R944" s="232"/>
      <c r="S944" s="232"/>
      <c r="T944" s="232"/>
    </row>
    <row r="945" spans="1:20">
      <c r="A945" s="174">
        <v>365</v>
      </c>
      <c r="B945" s="326">
        <v>100</v>
      </c>
      <c r="C945" s="326">
        <v>500</v>
      </c>
      <c r="D945" s="326">
        <v>200</v>
      </c>
      <c r="E945" s="326">
        <v>0</v>
      </c>
      <c r="F945" s="326">
        <v>0</v>
      </c>
      <c r="G945" s="330" t="s">
        <v>3121</v>
      </c>
      <c r="H945" s="330" t="s">
        <v>1364</v>
      </c>
      <c r="I945" s="326"/>
      <c r="J945" s="325"/>
      <c r="K945" s="349">
        <f t="shared" si="14"/>
        <v>0</v>
      </c>
      <c r="L945" s="349">
        <v>0</v>
      </c>
      <c r="M945" s="349"/>
      <c r="N945" s="349">
        <v>0</v>
      </c>
      <c r="O945" s="232"/>
      <c r="P945" s="232"/>
      <c r="Q945" s="232"/>
      <c r="R945" s="232"/>
      <c r="S945" s="232"/>
      <c r="T945" s="232"/>
    </row>
    <row r="946" spans="1:20">
      <c r="A946" s="174">
        <v>365</v>
      </c>
      <c r="B946" s="326">
        <v>100</v>
      </c>
      <c r="C946" s="326">
        <v>500</v>
      </c>
      <c r="D946" s="326">
        <v>900</v>
      </c>
      <c r="E946" s="326">
        <v>0</v>
      </c>
      <c r="F946" s="326">
        <v>0</v>
      </c>
      <c r="G946" s="330" t="s">
        <v>3122</v>
      </c>
      <c r="H946" s="330" t="s">
        <v>1361</v>
      </c>
      <c r="I946" s="326"/>
      <c r="J946" s="325"/>
      <c r="K946" s="349">
        <f t="shared" si="14"/>
        <v>0</v>
      </c>
      <c r="L946" s="349">
        <v>0</v>
      </c>
      <c r="M946" s="349"/>
      <c r="N946" s="349">
        <v>0</v>
      </c>
      <c r="O946" s="232"/>
      <c r="P946" s="232"/>
      <c r="Q946" s="232"/>
      <c r="R946" s="232"/>
      <c r="S946" s="232"/>
      <c r="T946" s="232"/>
    </row>
    <row r="947" spans="1:20">
      <c r="A947" s="174">
        <v>365</v>
      </c>
      <c r="B947" s="326">
        <v>100</v>
      </c>
      <c r="C947" s="326">
        <v>600</v>
      </c>
      <c r="D947" s="326">
        <v>0</v>
      </c>
      <c r="E947" s="326">
        <v>0</v>
      </c>
      <c r="F947" s="326">
        <v>0</v>
      </c>
      <c r="G947" s="330" t="s">
        <v>3123</v>
      </c>
      <c r="H947" s="330" t="s">
        <v>1365</v>
      </c>
      <c r="I947" s="326" t="s">
        <v>1366</v>
      </c>
      <c r="J947" s="325"/>
      <c r="K947" s="349">
        <f t="shared" si="14"/>
        <v>0</v>
      </c>
      <c r="L947" s="349">
        <v>0</v>
      </c>
      <c r="M947" s="349"/>
      <c r="N947" s="349">
        <v>0</v>
      </c>
      <c r="O947" s="232"/>
      <c r="P947" s="232"/>
      <c r="Q947" s="232"/>
      <c r="R947" s="232"/>
      <c r="S947" s="232"/>
      <c r="T947" s="232"/>
    </row>
    <row r="948" spans="1:20">
      <c r="A948" s="174">
        <v>365</v>
      </c>
      <c r="B948" s="326">
        <v>200</v>
      </c>
      <c r="C948" s="326">
        <v>0</v>
      </c>
      <c r="D948" s="326">
        <v>0</v>
      </c>
      <c r="E948" s="326">
        <v>0</v>
      </c>
      <c r="F948" s="326">
        <v>0</v>
      </c>
      <c r="G948" s="331" t="s">
        <v>3124</v>
      </c>
      <c r="H948" s="331" t="s">
        <v>1367</v>
      </c>
      <c r="I948" s="326" t="s">
        <v>1368</v>
      </c>
      <c r="J948" s="325"/>
      <c r="K948" s="335">
        <f t="shared" si="14"/>
        <v>0</v>
      </c>
      <c r="L948" s="335">
        <v>0</v>
      </c>
      <c r="M948" s="335"/>
      <c r="N948" s="335">
        <v>0</v>
      </c>
      <c r="O948" s="232"/>
      <c r="P948" s="232"/>
      <c r="Q948" s="232"/>
      <c r="R948" s="232"/>
      <c r="S948" s="232"/>
      <c r="T948" s="232"/>
    </row>
    <row r="949" spans="1:20" ht="25.5">
      <c r="A949" s="174">
        <v>365</v>
      </c>
      <c r="B949" s="326">
        <v>200</v>
      </c>
      <c r="C949" s="326">
        <v>100</v>
      </c>
      <c r="D949" s="326">
        <v>0</v>
      </c>
      <c r="E949" s="326">
        <v>0</v>
      </c>
      <c r="F949" s="326">
        <v>0</v>
      </c>
      <c r="G949" s="330" t="s">
        <v>3125</v>
      </c>
      <c r="H949" s="330" t="s">
        <v>1369</v>
      </c>
      <c r="I949" s="326"/>
      <c r="J949" s="326"/>
      <c r="K949" s="341">
        <f t="shared" si="14"/>
        <v>0</v>
      </c>
      <c r="L949" s="341">
        <v>0</v>
      </c>
      <c r="M949" s="341"/>
      <c r="N949" s="341">
        <v>0</v>
      </c>
      <c r="O949" s="232"/>
      <c r="P949" s="232"/>
      <c r="Q949" s="232"/>
      <c r="R949" s="232"/>
      <c r="S949" s="232"/>
      <c r="T949" s="232"/>
    </row>
    <row r="950" spans="1:20">
      <c r="A950" s="174">
        <v>365</v>
      </c>
      <c r="B950" s="326">
        <v>200</v>
      </c>
      <c r="C950" s="326">
        <v>200</v>
      </c>
      <c r="D950" s="326">
        <v>0</v>
      </c>
      <c r="E950" s="326">
        <v>0</v>
      </c>
      <c r="F950" s="326">
        <v>0</v>
      </c>
      <c r="G950" s="330" t="s">
        <v>3126</v>
      </c>
      <c r="H950" s="330" t="s">
        <v>1370</v>
      </c>
      <c r="I950" s="326"/>
      <c r="J950" s="326"/>
      <c r="K950" s="341">
        <f t="shared" si="14"/>
        <v>0</v>
      </c>
      <c r="L950" s="341">
        <v>0</v>
      </c>
      <c r="M950" s="341"/>
      <c r="N950" s="341">
        <v>0</v>
      </c>
      <c r="O950" s="232"/>
      <c r="P950" s="232"/>
      <c r="Q950" s="232"/>
      <c r="R950" s="232"/>
      <c r="S950" s="232"/>
      <c r="T950" s="232"/>
    </row>
    <row r="951" spans="1:20">
      <c r="A951" s="174">
        <v>365</v>
      </c>
      <c r="B951" s="326">
        <v>300</v>
      </c>
      <c r="C951" s="326">
        <v>0</v>
      </c>
      <c r="D951" s="326">
        <v>0</v>
      </c>
      <c r="E951" s="326">
        <v>0</v>
      </c>
      <c r="F951" s="326">
        <v>0</v>
      </c>
      <c r="G951" s="331" t="s">
        <v>3127</v>
      </c>
      <c r="H951" s="331" t="s">
        <v>1371</v>
      </c>
      <c r="I951" s="326" t="s">
        <v>1372</v>
      </c>
      <c r="J951" s="325"/>
      <c r="K951" s="335">
        <f t="shared" ref="K951:K1014" si="15">+L951+M951</f>
        <v>0</v>
      </c>
      <c r="L951" s="335">
        <v>0</v>
      </c>
      <c r="M951" s="335"/>
      <c r="N951" s="335">
        <v>0</v>
      </c>
      <c r="O951" s="232"/>
      <c r="P951" s="232"/>
      <c r="Q951" s="232"/>
      <c r="R951" s="232"/>
      <c r="S951" s="232"/>
      <c r="T951" s="232"/>
    </row>
    <row r="952" spans="1:20" ht="38.25">
      <c r="A952" s="174">
        <v>365</v>
      </c>
      <c r="B952" s="326">
        <v>300</v>
      </c>
      <c r="C952" s="326">
        <v>50</v>
      </c>
      <c r="D952" s="326">
        <v>0</v>
      </c>
      <c r="E952" s="326">
        <v>0</v>
      </c>
      <c r="F952" s="326">
        <v>0</v>
      </c>
      <c r="G952" s="330" t="s">
        <v>3128</v>
      </c>
      <c r="H952" s="330" t="s">
        <v>1373</v>
      </c>
      <c r="I952" s="326" t="s">
        <v>1374</v>
      </c>
      <c r="J952" s="326"/>
      <c r="K952" s="334">
        <f t="shared" si="15"/>
        <v>1828540.44</v>
      </c>
      <c r="L952" s="334">
        <v>1828540.44</v>
      </c>
      <c r="M952" s="334"/>
      <c r="N952" s="334">
        <v>0</v>
      </c>
      <c r="O952" s="232"/>
      <c r="P952" s="232"/>
      <c r="Q952" s="232"/>
      <c r="R952" s="232"/>
      <c r="S952" s="232"/>
      <c r="T952" s="232"/>
    </row>
    <row r="953" spans="1:20" ht="25.5">
      <c r="A953" s="174">
        <v>365</v>
      </c>
      <c r="B953" s="326">
        <v>300</v>
      </c>
      <c r="C953" s="326">
        <v>100</v>
      </c>
      <c r="D953" s="326">
        <v>0</v>
      </c>
      <c r="E953" s="326">
        <v>0</v>
      </c>
      <c r="F953" s="326">
        <v>0</v>
      </c>
      <c r="G953" s="330" t="s">
        <v>3129</v>
      </c>
      <c r="H953" s="330" t="s">
        <v>1375</v>
      </c>
      <c r="I953" s="326" t="s">
        <v>1376</v>
      </c>
      <c r="J953" s="326"/>
      <c r="K953" s="334">
        <f t="shared" si="15"/>
        <v>0</v>
      </c>
      <c r="L953" s="334">
        <v>0</v>
      </c>
      <c r="M953" s="334"/>
      <c r="N953" s="334">
        <v>0</v>
      </c>
      <c r="O953" s="232"/>
      <c r="P953" s="232"/>
      <c r="Q953" s="232"/>
      <c r="R953" s="232"/>
      <c r="S953" s="232"/>
      <c r="T953" s="232"/>
    </row>
    <row r="954" spans="1:20" ht="25.5">
      <c r="A954" s="174">
        <v>365</v>
      </c>
      <c r="B954" s="326">
        <v>300</v>
      </c>
      <c r="C954" s="326">
        <v>200</v>
      </c>
      <c r="D954" s="326">
        <v>0</v>
      </c>
      <c r="E954" s="326">
        <v>0</v>
      </c>
      <c r="F954" s="326">
        <v>0</v>
      </c>
      <c r="G954" s="330" t="s">
        <v>3130</v>
      </c>
      <c r="H954" s="330" t="s">
        <v>1377</v>
      </c>
      <c r="I954" s="326" t="s">
        <v>1378</v>
      </c>
      <c r="J954" s="326"/>
      <c r="K954" s="334">
        <f t="shared" si="15"/>
        <v>1345016.8</v>
      </c>
      <c r="L954" s="334">
        <v>1345016.8</v>
      </c>
      <c r="M954" s="334"/>
      <c r="N954" s="334">
        <v>1236599.32</v>
      </c>
      <c r="O954" s="232"/>
      <c r="P954" s="232"/>
      <c r="Q954" s="232"/>
      <c r="R954" s="232"/>
      <c r="S954" s="232"/>
      <c r="T954" s="232"/>
    </row>
    <row r="955" spans="1:20" ht="25.5">
      <c r="A955" s="174">
        <v>365</v>
      </c>
      <c r="B955" s="326">
        <v>300</v>
      </c>
      <c r="C955" s="326">
        <v>300</v>
      </c>
      <c r="D955" s="326">
        <v>0</v>
      </c>
      <c r="E955" s="326">
        <v>0</v>
      </c>
      <c r="F955" s="326">
        <v>0</v>
      </c>
      <c r="G955" s="330" t="s">
        <v>3131</v>
      </c>
      <c r="H955" s="330" t="s">
        <v>1379</v>
      </c>
      <c r="I955" s="326" t="s">
        <v>1380</v>
      </c>
      <c r="J955" s="326"/>
      <c r="K955" s="334">
        <f t="shared" si="15"/>
        <v>1620572.45</v>
      </c>
      <c r="L955" s="334">
        <v>1620572.45</v>
      </c>
      <c r="M955" s="334"/>
      <c r="N955" s="334">
        <v>2716219.22</v>
      </c>
      <c r="O955" s="232"/>
      <c r="P955" s="232"/>
      <c r="Q955" s="232"/>
      <c r="R955" s="232"/>
      <c r="S955" s="232"/>
      <c r="T955" s="232"/>
    </row>
    <row r="956" spans="1:20" ht="25.5">
      <c r="A956" s="174">
        <v>365</v>
      </c>
      <c r="B956" s="326">
        <v>300</v>
      </c>
      <c r="C956" s="326">
        <v>400</v>
      </c>
      <c r="D956" s="326">
        <v>0</v>
      </c>
      <c r="E956" s="326">
        <v>0</v>
      </c>
      <c r="F956" s="326">
        <v>0</v>
      </c>
      <c r="G956" s="331" t="s">
        <v>3132</v>
      </c>
      <c r="H956" s="331" t="s">
        <v>1381</v>
      </c>
      <c r="I956" s="326" t="s">
        <v>1382</v>
      </c>
      <c r="J956" s="325"/>
      <c r="K956" s="335">
        <f t="shared" si="15"/>
        <v>0</v>
      </c>
      <c r="L956" s="335">
        <v>0</v>
      </c>
      <c r="M956" s="335"/>
      <c r="N956" s="335">
        <v>0</v>
      </c>
      <c r="O956" s="232"/>
      <c r="P956" s="232"/>
      <c r="Q956" s="232"/>
      <c r="R956" s="232"/>
      <c r="S956" s="232"/>
      <c r="T956" s="232"/>
    </row>
    <row r="957" spans="1:20" ht="25.5">
      <c r="A957" s="174">
        <v>365</v>
      </c>
      <c r="B957" s="326">
        <v>300</v>
      </c>
      <c r="C957" s="326">
        <v>400</v>
      </c>
      <c r="D957" s="326">
        <v>100</v>
      </c>
      <c r="E957" s="326">
        <v>0</v>
      </c>
      <c r="F957" s="326">
        <v>0</v>
      </c>
      <c r="G957" s="330" t="s">
        <v>3133</v>
      </c>
      <c r="H957" s="330" t="s">
        <v>1383</v>
      </c>
      <c r="I957" s="326"/>
      <c r="J957" s="326"/>
      <c r="K957" s="341">
        <f t="shared" si="15"/>
        <v>65290.22</v>
      </c>
      <c r="L957" s="341">
        <v>65290.22</v>
      </c>
      <c r="M957" s="341"/>
      <c r="N957" s="341">
        <v>38117.870000000003</v>
      </c>
      <c r="O957" s="232"/>
      <c r="P957" s="232"/>
      <c r="Q957" s="232"/>
      <c r="R957" s="232"/>
      <c r="S957" s="232"/>
      <c r="T957" s="232"/>
    </row>
    <row r="958" spans="1:20" ht="25.5">
      <c r="A958" s="174">
        <v>365</v>
      </c>
      <c r="B958" s="326">
        <v>300</v>
      </c>
      <c r="C958" s="326">
        <v>400</v>
      </c>
      <c r="D958" s="326">
        <v>200</v>
      </c>
      <c r="E958" s="326">
        <v>0</v>
      </c>
      <c r="F958" s="326">
        <v>0</v>
      </c>
      <c r="G958" s="330" t="s">
        <v>3134</v>
      </c>
      <c r="H958" s="330" t="s">
        <v>1384</v>
      </c>
      <c r="I958" s="326"/>
      <c r="J958" s="326"/>
      <c r="K958" s="341">
        <f t="shared" si="15"/>
        <v>202538.37</v>
      </c>
      <c r="L958" s="341">
        <v>202538.37</v>
      </c>
      <c r="M958" s="341"/>
      <c r="N958" s="341">
        <v>53045.33</v>
      </c>
      <c r="O958" s="232"/>
      <c r="P958" s="232"/>
      <c r="Q958" s="232"/>
      <c r="R958" s="232"/>
      <c r="S958" s="232"/>
      <c r="T958" s="232"/>
    </row>
    <row r="959" spans="1:20" ht="25.5">
      <c r="A959" s="174">
        <v>365</v>
      </c>
      <c r="B959" s="326">
        <v>300</v>
      </c>
      <c r="C959" s="326">
        <v>500</v>
      </c>
      <c r="D959" s="326">
        <v>0</v>
      </c>
      <c r="E959" s="326">
        <v>0</v>
      </c>
      <c r="F959" s="326">
        <v>0</v>
      </c>
      <c r="G959" s="330" t="s">
        <v>3135</v>
      </c>
      <c r="H959" s="330" t="s">
        <v>1385</v>
      </c>
      <c r="I959" s="326" t="s">
        <v>1386</v>
      </c>
      <c r="J959" s="326"/>
      <c r="K959" s="341">
        <f t="shared" si="15"/>
        <v>1386112.63</v>
      </c>
      <c r="L959" s="341">
        <v>1386112.63</v>
      </c>
      <c r="M959" s="341"/>
      <c r="N959" s="341">
        <v>76057.600000000006</v>
      </c>
      <c r="O959" s="232"/>
      <c r="P959" s="232"/>
      <c r="Q959" s="232"/>
      <c r="R959" s="232"/>
      <c r="S959" s="232"/>
      <c r="T959" s="232"/>
    </row>
    <row r="960" spans="1:20">
      <c r="A960" s="174">
        <v>365</v>
      </c>
      <c r="B960" s="326">
        <v>400</v>
      </c>
      <c r="C960" s="326">
        <v>0</v>
      </c>
      <c r="D960" s="326">
        <v>0</v>
      </c>
      <c r="E960" s="326">
        <v>0</v>
      </c>
      <c r="F960" s="326">
        <v>0</v>
      </c>
      <c r="G960" s="331" t="s">
        <v>3136</v>
      </c>
      <c r="H960" s="331" t="s">
        <v>1387</v>
      </c>
      <c r="I960" s="326" t="s">
        <v>1388</v>
      </c>
      <c r="J960" s="325"/>
      <c r="K960" s="335">
        <f t="shared" si="15"/>
        <v>0</v>
      </c>
      <c r="L960" s="335">
        <v>0</v>
      </c>
      <c r="M960" s="335"/>
      <c r="N960" s="335">
        <v>0</v>
      </c>
      <c r="O960" s="232"/>
      <c r="P960" s="232"/>
      <c r="Q960" s="232"/>
      <c r="R960" s="232"/>
      <c r="S960" s="232"/>
      <c r="T960" s="232"/>
    </row>
    <row r="961" spans="1:20">
      <c r="A961" s="174">
        <v>365</v>
      </c>
      <c r="B961" s="326">
        <v>400</v>
      </c>
      <c r="C961" s="326">
        <v>200</v>
      </c>
      <c r="D961" s="326">
        <v>0</v>
      </c>
      <c r="E961" s="326">
        <v>0</v>
      </c>
      <c r="F961" s="326">
        <v>0</v>
      </c>
      <c r="G961" s="330" t="s">
        <v>3137</v>
      </c>
      <c r="H961" s="330" t="s">
        <v>1389</v>
      </c>
      <c r="I961" s="326" t="s">
        <v>1390</v>
      </c>
      <c r="J961" s="326"/>
      <c r="K961" s="334">
        <f t="shared" si="15"/>
        <v>0</v>
      </c>
      <c r="L961" s="334">
        <v>0</v>
      </c>
      <c r="M961" s="334"/>
      <c r="N961" s="334">
        <v>0</v>
      </c>
      <c r="O961" s="232"/>
      <c r="P961" s="232"/>
      <c r="Q961" s="232"/>
      <c r="R961" s="232"/>
      <c r="S961" s="232"/>
      <c r="T961" s="232"/>
    </row>
    <row r="962" spans="1:20">
      <c r="A962" s="174">
        <v>365</v>
      </c>
      <c r="B962" s="326">
        <v>400</v>
      </c>
      <c r="C962" s="326">
        <v>300</v>
      </c>
      <c r="D962" s="326">
        <v>0</v>
      </c>
      <c r="E962" s="326">
        <v>0</v>
      </c>
      <c r="F962" s="326">
        <v>0</v>
      </c>
      <c r="G962" s="330" t="s">
        <v>3138</v>
      </c>
      <c r="H962" s="330" t="s">
        <v>1391</v>
      </c>
      <c r="I962" s="326" t="s">
        <v>1392</v>
      </c>
      <c r="J962" s="326"/>
      <c r="K962" s="334">
        <f t="shared" si="15"/>
        <v>0</v>
      </c>
      <c r="L962" s="334">
        <v>0</v>
      </c>
      <c r="M962" s="334"/>
      <c r="N962" s="334">
        <v>0</v>
      </c>
      <c r="O962" s="232"/>
      <c r="P962" s="232"/>
      <c r="Q962" s="232"/>
      <c r="R962" s="232"/>
      <c r="S962" s="232"/>
      <c r="T962" s="232"/>
    </row>
    <row r="963" spans="1:20">
      <c r="A963" s="174">
        <v>365</v>
      </c>
      <c r="B963" s="326">
        <v>400</v>
      </c>
      <c r="C963" s="326">
        <v>400</v>
      </c>
      <c r="D963" s="326">
        <v>0</v>
      </c>
      <c r="E963" s="326">
        <v>0</v>
      </c>
      <c r="F963" s="326">
        <v>0</v>
      </c>
      <c r="G963" s="330" t="s">
        <v>3139</v>
      </c>
      <c r="H963" s="330" t="s">
        <v>1393</v>
      </c>
      <c r="I963" s="326" t="s">
        <v>1394</v>
      </c>
      <c r="J963" s="326"/>
      <c r="K963" s="334">
        <f t="shared" si="15"/>
        <v>348007</v>
      </c>
      <c r="L963" s="334">
        <v>348007</v>
      </c>
      <c r="M963" s="334"/>
      <c r="N963" s="334">
        <v>947993.97</v>
      </c>
      <c r="O963" s="232"/>
      <c r="P963" s="232"/>
      <c r="Q963" s="232"/>
      <c r="R963" s="232"/>
      <c r="S963" s="232"/>
      <c r="T963" s="232"/>
    </row>
    <row r="964" spans="1:20">
      <c r="A964" s="174">
        <v>365</v>
      </c>
      <c r="B964" s="326">
        <v>400</v>
      </c>
      <c r="C964" s="326">
        <v>500</v>
      </c>
      <c r="D964" s="326">
        <v>0</v>
      </c>
      <c r="E964" s="326">
        <v>0</v>
      </c>
      <c r="F964" s="326">
        <v>0</v>
      </c>
      <c r="G964" s="330" t="s">
        <v>3140</v>
      </c>
      <c r="H964" s="330" t="s">
        <v>1395</v>
      </c>
      <c r="I964" s="326" t="s">
        <v>1396</v>
      </c>
      <c r="J964" s="326"/>
      <c r="K964" s="334">
        <f t="shared" si="15"/>
        <v>22853</v>
      </c>
      <c r="L964" s="334">
        <v>22853</v>
      </c>
      <c r="M964" s="334"/>
      <c r="N964" s="334">
        <v>72777.84</v>
      </c>
      <c r="O964" s="232"/>
      <c r="P964" s="232"/>
      <c r="Q964" s="232"/>
      <c r="R964" s="232"/>
      <c r="S964" s="232"/>
      <c r="T964" s="232"/>
    </row>
    <row r="965" spans="1:20">
      <c r="A965" s="174">
        <v>365</v>
      </c>
      <c r="B965" s="326">
        <v>400</v>
      </c>
      <c r="C965" s="326">
        <v>600</v>
      </c>
      <c r="D965" s="326">
        <v>0</v>
      </c>
      <c r="E965" s="326">
        <v>0</v>
      </c>
      <c r="F965" s="326">
        <v>0</v>
      </c>
      <c r="G965" s="330" t="s">
        <v>3141</v>
      </c>
      <c r="H965" s="330" t="s">
        <v>1397</v>
      </c>
      <c r="I965" s="326" t="s">
        <v>1398</v>
      </c>
      <c r="J965" s="326"/>
      <c r="K965" s="334">
        <f t="shared" si="15"/>
        <v>498071</v>
      </c>
      <c r="L965" s="334">
        <v>498071</v>
      </c>
      <c r="M965" s="334"/>
      <c r="N965" s="334">
        <v>0</v>
      </c>
      <c r="O965" s="232"/>
      <c r="P965" s="232"/>
      <c r="Q965" s="232"/>
      <c r="R965" s="232"/>
      <c r="S965" s="232"/>
      <c r="T965" s="232"/>
    </row>
    <row r="966" spans="1:20">
      <c r="A966" s="174">
        <v>365</v>
      </c>
      <c r="B966" s="326">
        <v>400</v>
      </c>
      <c r="C966" s="326">
        <v>610</v>
      </c>
      <c r="D966" s="328">
        <v>0</v>
      </c>
      <c r="E966" s="328">
        <v>0</v>
      </c>
      <c r="F966" s="328">
        <v>0</v>
      </c>
      <c r="G966" s="330" t="s">
        <v>3142</v>
      </c>
      <c r="H966" s="330" t="s">
        <v>1399</v>
      </c>
      <c r="I966" s="326" t="s">
        <v>1400</v>
      </c>
      <c r="J966" s="326"/>
      <c r="K966" s="334">
        <f t="shared" si="15"/>
        <v>0</v>
      </c>
      <c r="L966" s="334">
        <v>0</v>
      </c>
      <c r="M966" s="334"/>
      <c r="N966" s="334">
        <v>0</v>
      </c>
      <c r="O966" s="232"/>
      <c r="P966" s="232"/>
      <c r="Q966" s="232"/>
      <c r="R966" s="232"/>
      <c r="S966" s="232"/>
      <c r="T966" s="232"/>
    </row>
    <row r="967" spans="1:20">
      <c r="A967" s="174">
        <v>365</v>
      </c>
      <c r="B967" s="326">
        <v>400</v>
      </c>
      <c r="C967" s="326">
        <v>620</v>
      </c>
      <c r="D967" s="328">
        <v>0</v>
      </c>
      <c r="E967" s="328">
        <v>0</v>
      </c>
      <c r="F967" s="328">
        <v>0</v>
      </c>
      <c r="G967" s="330" t="s">
        <v>3143</v>
      </c>
      <c r="H967" s="330" t="s">
        <v>1401</v>
      </c>
      <c r="I967" s="326" t="s">
        <v>1402</v>
      </c>
      <c r="J967" s="326"/>
      <c r="K967" s="334">
        <f t="shared" si="15"/>
        <v>0</v>
      </c>
      <c r="L967" s="334">
        <v>0</v>
      </c>
      <c r="M967" s="334"/>
      <c r="N967" s="334">
        <v>54270.7</v>
      </c>
      <c r="O967" s="232"/>
      <c r="P967" s="232"/>
      <c r="Q967" s="232"/>
      <c r="R967" s="232"/>
      <c r="S967" s="232"/>
      <c r="T967" s="232"/>
    </row>
    <row r="968" spans="1:20">
      <c r="A968" s="174">
        <v>365</v>
      </c>
      <c r="B968" s="326">
        <v>400</v>
      </c>
      <c r="C968" s="326">
        <v>630</v>
      </c>
      <c r="D968" s="328">
        <v>0</v>
      </c>
      <c r="E968" s="328">
        <v>0</v>
      </c>
      <c r="F968" s="328">
        <v>0</v>
      </c>
      <c r="G968" s="330" t="s">
        <v>3144</v>
      </c>
      <c r="H968" s="330" t="s">
        <v>1403</v>
      </c>
      <c r="I968" s="326" t="s">
        <v>1404</v>
      </c>
      <c r="J968" s="326"/>
      <c r="K968" s="334">
        <f t="shared" si="15"/>
        <v>0</v>
      </c>
      <c r="L968" s="334">
        <v>0</v>
      </c>
      <c r="M968" s="334"/>
      <c r="N968" s="334">
        <v>0</v>
      </c>
      <c r="O968" s="232"/>
      <c r="P968" s="232"/>
      <c r="Q968" s="232"/>
      <c r="R968" s="232"/>
      <c r="S968" s="232"/>
      <c r="T968" s="232"/>
    </row>
    <row r="969" spans="1:20">
      <c r="A969" s="174">
        <v>365</v>
      </c>
      <c r="B969" s="326">
        <v>400</v>
      </c>
      <c r="C969" s="326">
        <v>640</v>
      </c>
      <c r="D969" s="328">
        <v>0</v>
      </c>
      <c r="E969" s="328">
        <v>0</v>
      </c>
      <c r="F969" s="328">
        <v>0</v>
      </c>
      <c r="G969" s="330" t="s">
        <v>3145</v>
      </c>
      <c r="H969" s="330" t="s">
        <v>1405</v>
      </c>
      <c r="I969" s="326" t="s">
        <v>1406</v>
      </c>
      <c r="J969" s="326"/>
      <c r="K969" s="334">
        <f t="shared" si="15"/>
        <v>54239.32</v>
      </c>
      <c r="L969" s="334">
        <v>54239.32</v>
      </c>
      <c r="M969" s="334"/>
      <c r="N969" s="334">
        <v>126932.30999999998</v>
      </c>
      <c r="O969" s="232"/>
      <c r="P969" s="232"/>
      <c r="Q969" s="232"/>
      <c r="R969" s="232"/>
      <c r="S969" s="232"/>
      <c r="T969" s="232"/>
    </row>
    <row r="970" spans="1:20">
      <c r="A970" s="174">
        <v>365</v>
      </c>
      <c r="B970" s="326">
        <v>400</v>
      </c>
      <c r="C970" s="328">
        <v>700</v>
      </c>
      <c r="D970" s="326">
        <v>0</v>
      </c>
      <c r="E970" s="326">
        <v>0</v>
      </c>
      <c r="F970" s="326">
        <v>0</v>
      </c>
      <c r="G970" s="331" t="s">
        <v>3146</v>
      </c>
      <c r="H970" s="331" t="s">
        <v>1387</v>
      </c>
      <c r="I970" s="326" t="s">
        <v>1407</v>
      </c>
      <c r="J970" s="325"/>
      <c r="K970" s="336">
        <f t="shared" si="15"/>
        <v>0</v>
      </c>
      <c r="L970" s="336">
        <v>0</v>
      </c>
      <c r="M970" s="336"/>
      <c r="N970" s="336">
        <v>0</v>
      </c>
      <c r="O970" s="232"/>
      <c r="P970" s="232"/>
      <c r="Q970" s="232"/>
      <c r="R970" s="232"/>
      <c r="S970" s="232"/>
      <c r="T970" s="232"/>
    </row>
    <row r="971" spans="1:20">
      <c r="A971" s="404">
        <v>370</v>
      </c>
      <c r="B971" s="405">
        <v>0</v>
      </c>
      <c r="C971" s="406">
        <v>0</v>
      </c>
      <c r="D971" s="405">
        <v>0</v>
      </c>
      <c r="E971" s="405">
        <v>0</v>
      </c>
      <c r="F971" s="405">
        <v>0</v>
      </c>
      <c r="G971" s="339">
        <v>370</v>
      </c>
      <c r="H971" s="339" t="s">
        <v>1408</v>
      </c>
      <c r="I971" s="52" t="s">
        <v>1409</v>
      </c>
      <c r="J971" s="52"/>
      <c r="K971" s="335">
        <f t="shared" si="15"/>
        <v>0</v>
      </c>
      <c r="L971" s="335">
        <v>0</v>
      </c>
      <c r="M971" s="335"/>
      <c r="N971" s="335">
        <v>0</v>
      </c>
      <c r="O971" s="232"/>
      <c r="P971" s="232"/>
      <c r="Q971" s="232"/>
      <c r="R971" s="232"/>
      <c r="S971" s="232"/>
      <c r="T971" s="232"/>
    </row>
    <row r="972" spans="1:20">
      <c r="A972" s="176">
        <v>370</v>
      </c>
      <c r="B972" s="175">
        <v>100</v>
      </c>
      <c r="C972" s="175">
        <v>0</v>
      </c>
      <c r="D972" s="175">
        <v>0</v>
      </c>
      <c r="E972" s="175">
        <v>0</v>
      </c>
      <c r="F972" s="175">
        <v>0</v>
      </c>
      <c r="G972" s="330" t="s">
        <v>3147</v>
      </c>
      <c r="H972" s="330" t="s">
        <v>1410</v>
      </c>
      <c r="I972" s="175" t="s">
        <v>1411</v>
      </c>
      <c r="J972" s="175"/>
      <c r="K972" s="334">
        <f t="shared" si="15"/>
        <v>0</v>
      </c>
      <c r="L972" s="334">
        <v>0</v>
      </c>
      <c r="M972" s="334"/>
      <c r="N972" s="334">
        <v>0</v>
      </c>
      <c r="O972" s="232"/>
      <c r="P972" s="232"/>
      <c r="Q972" s="232"/>
      <c r="R972" s="232"/>
      <c r="S972" s="232"/>
      <c r="T972" s="232"/>
    </row>
    <row r="973" spans="1:20">
      <c r="A973" s="176">
        <v>370</v>
      </c>
      <c r="B973" s="175">
        <v>200</v>
      </c>
      <c r="C973" s="175">
        <v>0</v>
      </c>
      <c r="D973" s="175">
        <v>0</v>
      </c>
      <c r="E973" s="175">
        <v>0</v>
      </c>
      <c r="F973" s="175">
        <v>0</v>
      </c>
      <c r="G973" s="330" t="s">
        <v>3148</v>
      </c>
      <c r="H973" s="330" t="s">
        <v>1412</v>
      </c>
      <c r="I973" s="175" t="s">
        <v>1413</v>
      </c>
      <c r="J973" s="175"/>
      <c r="K973" s="334">
        <f t="shared" si="15"/>
        <v>0</v>
      </c>
      <c r="L973" s="334">
        <v>0</v>
      </c>
      <c r="M973" s="334"/>
      <c r="N973" s="334">
        <v>0</v>
      </c>
      <c r="O973" s="232"/>
      <c r="P973" s="232"/>
      <c r="Q973" s="232"/>
      <c r="R973" s="232"/>
      <c r="S973" s="232"/>
      <c r="T973" s="232"/>
    </row>
    <row r="974" spans="1:20">
      <c r="A974" s="176">
        <v>370</v>
      </c>
      <c r="B974" s="175">
        <v>300</v>
      </c>
      <c r="C974" s="175">
        <v>0</v>
      </c>
      <c r="D974" s="175">
        <v>0</v>
      </c>
      <c r="E974" s="175">
        <v>0</v>
      </c>
      <c r="F974" s="175">
        <v>0</v>
      </c>
      <c r="G974" s="331" t="s">
        <v>3149</v>
      </c>
      <c r="H974" s="331" t="s">
        <v>1414</v>
      </c>
      <c r="I974" s="175" t="s">
        <v>1415</v>
      </c>
      <c r="J974" s="350"/>
      <c r="K974" s="335">
        <f t="shared" si="15"/>
        <v>0</v>
      </c>
      <c r="L974" s="335">
        <v>0</v>
      </c>
      <c r="M974" s="335"/>
      <c r="N974" s="335">
        <v>0</v>
      </c>
      <c r="O974" s="232"/>
      <c r="P974" s="232"/>
      <c r="Q974" s="232"/>
      <c r="R974" s="232"/>
      <c r="S974" s="232"/>
      <c r="T974" s="232"/>
    </row>
    <row r="975" spans="1:20">
      <c r="A975" s="176">
        <v>370</v>
      </c>
      <c r="B975" s="175">
        <v>300</v>
      </c>
      <c r="C975" s="175">
        <v>100</v>
      </c>
      <c r="D975" s="175">
        <v>0</v>
      </c>
      <c r="E975" s="175">
        <v>0</v>
      </c>
      <c r="F975" s="175">
        <v>0</v>
      </c>
      <c r="G975" s="343" t="s">
        <v>3150</v>
      </c>
      <c r="H975" s="343" t="s">
        <v>469</v>
      </c>
      <c r="I975" s="175"/>
      <c r="J975" s="175"/>
      <c r="K975" s="344">
        <f t="shared" si="15"/>
        <v>0</v>
      </c>
      <c r="L975" s="344">
        <v>0</v>
      </c>
      <c r="M975" s="344"/>
      <c r="N975" s="344">
        <v>0</v>
      </c>
      <c r="O975" s="232"/>
      <c r="P975" s="232"/>
      <c r="Q975" s="232"/>
      <c r="R975" s="232"/>
      <c r="S975" s="232"/>
      <c r="T975" s="232"/>
    </row>
    <row r="976" spans="1:20">
      <c r="A976" s="176">
        <v>370</v>
      </c>
      <c r="B976" s="175">
        <v>300</v>
      </c>
      <c r="C976" s="175">
        <v>900</v>
      </c>
      <c r="D976" s="175">
        <v>0</v>
      </c>
      <c r="E976" s="175">
        <v>0</v>
      </c>
      <c r="F976" s="175">
        <v>0</v>
      </c>
      <c r="G976" s="343" t="s">
        <v>3151</v>
      </c>
      <c r="H976" s="343" t="s">
        <v>1414</v>
      </c>
      <c r="I976" s="175"/>
      <c r="J976" s="175"/>
      <c r="K976" s="344">
        <f t="shared" si="15"/>
        <v>7.18</v>
      </c>
      <c r="L976" s="344">
        <v>7.18</v>
      </c>
      <c r="M976" s="344"/>
      <c r="N976" s="344">
        <v>0</v>
      </c>
      <c r="O976" s="232"/>
      <c r="P976" s="232"/>
      <c r="Q976" s="232"/>
      <c r="R976" s="232"/>
      <c r="S976" s="232"/>
      <c r="T976" s="232"/>
    </row>
    <row r="977" spans="1:20">
      <c r="A977" s="404">
        <v>375</v>
      </c>
      <c r="B977" s="405">
        <v>0</v>
      </c>
      <c r="C977" s="405">
        <v>0</v>
      </c>
      <c r="D977" s="405">
        <v>0</v>
      </c>
      <c r="E977" s="405">
        <v>0</v>
      </c>
      <c r="F977" s="405">
        <v>0</v>
      </c>
      <c r="G977" s="339">
        <v>375</v>
      </c>
      <c r="H977" s="339" t="s">
        <v>1416</v>
      </c>
      <c r="I977" s="52"/>
      <c r="J977" s="52"/>
      <c r="K977" s="335">
        <f t="shared" si="15"/>
        <v>0</v>
      </c>
      <c r="L977" s="335">
        <v>0</v>
      </c>
      <c r="M977" s="335"/>
      <c r="N977" s="335">
        <v>0</v>
      </c>
      <c r="O977" s="232"/>
      <c r="P977" s="232"/>
      <c r="Q977" s="232"/>
      <c r="R977" s="232"/>
      <c r="S977" s="232"/>
      <c r="T977" s="232"/>
    </row>
    <row r="978" spans="1:20">
      <c r="A978" s="176">
        <v>375</v>
      </c>
      <c r="B978" s="175">
        <v>100</v>
      </c>
      <c r="C978" s="175">
        <v>0</v>
      </c>
      <c r="D978" s="175">
        <v>0</v>
      </c>
      <c r="E978" s="175">
        <v>0</v>
      </c>
      <c r="F978" s="175">
        <v>0</v>
      </c>
      <c r="G978" s="330" t="s">
        <v>3152</v>
      </c>
      <c r="H978" s="330" t="s">
        <v>1417</v>
      </c>
      <c r="I978" s="175" t="s">
        <v>1418</v>
      </c>
      <c r="J978" s="175"/>
      <c r="K978" s="334">
        <f t="shared" si="15"/>
        <v>0</v>
      </c>
      <c r="L978" s="334">
        <v>0</v>
      </c>
      <c r="M978" s="334"/>
      <c r="N978" s="334">
        <v>0</v>
      </c>
      <c r="O978" s="232"/>
      <c r="P978" s="232"/>
      <c r="Q978" s="232"/>
      <c r="R978" s="232"/>
      <c r="S978" s="232"/>
      <c r="T978" s="232"/>
    </row>
    <row r="979" spans="1:20">
      <c r="A979" s="176">
        <v>375</v>
      </c>
      <c r="B979" s="175">
        <v>200</v>
      </c>
      <c r="C979" s="175">
        <v>0</v>
      </c>
      <c r="D979" s="175">
        <v>0</v>
      </c>
      <c r="E979" s="175">
        <v>0</v>
      </c>
      <c r="F979" s="175">
        <v>0</v>
      </c>
      <c r="G979" s="330" t="s">
        <v>3153</v>
      </c>
      <c r="H979" s="330" t="s">
        <v>1419</v>
      </c>
      <c r="I979" s="175" t="s">
        <v>1420</v>
      </c>
      <c r="J979" s="175"/>
      <c r="K979" s="334">
        <f t="shared" si="15"/>
        <v>0</v>
      </c>
      <c r="L979" s="334">
        <v>0</v>
      </c>
      <c r="M979" s="334"/>
      <c r="N979" s="334">
        <v>0</v>
      </c>
      <c r="O979" s="232"/>
      <c r="P979" s="232"/>
      <c r="Q979" s="232"/>
      <c r="R979" s="232"/>
      <c r="S979" s="232"/>
      <c r="T979" s="232"/>
    </row>
    <row r="980" spans="1:20" ht="25.5">
      <c r="A980" s="174">
        <v>380</v>
      </c>
      <c r="B980" s="326">
        <v>0</v>
      </c>
      <c r="C980" s="326">
        <v>0</v>
      </c>
      <c r="D980" s="326">
        <v>0</v>
      </c>
      <c r="E980" s="326">
        <v>0</v>
      </c>
      <c r="F980" s="326">
        <v>0</v>
      </c>
      <c r="G980" s="330" t="s">
        <v>3154</v>
      </c>
      <c r="H980" s="330" t="s">
        <v>1421</v>
      </c>
      <c r="I980" s="327" t="s">
        <v>1422</v>
      </c>
      <c r="J980" s="327"/>
      <c r="K980" s="336">
        <f t="shared" si="15"/>
        <v>0</v>
      </c>
      <c r="L980" s="336">
        <v>0</v>
      </c>
      <c r="M980" s="336"/>
      <c r="N980" s="336">
        <v>0</v>
      </c>
      <c r="O980" s="232"/>
      <c r="P980" s="232"/>
      <c r="Q980" s="232"/>
      <c r="R980" s="232"/>
      <c r="S980" s="232"/>
      <c r="T980" s="232"/>
    </row>
    <row r="981" spans="1:20">
      <c r="A981" s="404">
        <v>390</v>
      </c>
      <c r="B981" s="405">
        <v>0</v>
      </c>
      <c r="C981" s="405">
        <v>0</v>
      </c>
      <c r="D981" s="405">
        <v>0</v>
      </c>
      <c r="E981" s="405">
        <v>0</v>
      </c>
      <c r="F981" s="405">
        <v>0</v>
      </c>
      <c r="G981" s="339">
        <v>390</v>
      </c>
      <c r="H981" s="339" t="s">
        <v>101</v>
      </c>
      <c r="I981" s="52" t="s">
        <v>1423</v>
      </c>
      <c r="J981" s="52"/>
      <c r="K981" s="335">
        <f t="shared" si="15"/>
        <v>0</v>
      </c>
      <c r="L981" s="335">
        <v>0</v>
      </c>
      <c r="M981" s="335"/>
      <c r="N981" s="335">
        <v>0</v>
      </c>
      <c r="O981" s="232"/>
      <c r="P981" s="232"/>
      <c r="Q981" s="232"/>
      <c r="R981" s="232"/>
      <c r="S981" s="232"/>
      <c r="T981" s="232"/>
    </row>
    <row r="982" spans="1:20">
      <c r="A982" s="176">
        <v>390</v>
      </c>
      <c r="B982" s="175">
        <v>100</v>
      </c>
      <c r="C982" s="175">
        <v>0</v>
      </c>
      <c r="D982" s="175">
        <v>0</v>
      </c>
      <c r="E982" s="175">
        <v>0</v>
      </c>
      <c r="F982" s="175">
        <v>0</v>
      </c>
      <c r="G982" s="330" t="s">
        <v>3155</v>
      </c>
      <c r="H982" s="330" t="s">
        <v>1424</v>
      </c>
      <c r="I982" s="175" t="s">
        <v>1425</v>
      </c>
      <c r="J982" s="175"/>
      <c r="K982" s="334">
        <f t="shared" si="15"/>
        <v>2359.48</v>
      </c>
      <c r="L982" s="334">
        <v>2359.48</v>
      </c>
      <c r="M982" s="334"/>
      <c r="N982" s="334">
        <v>3390.8</v>
      </c>
      <c r="O982" s="232"/>
      <c r="P982" s="232"/>
      <c r="Q982" s="232"/>
      <c r="R982" s="232"/>
      <c r="S982" s="232"/>
      <c r="T982" s="232"/>
    </row>
    <row r="983" spans="1:20">
      <c r="A983" s="176">
        <v>390</v>
      </c>
      <c r="B983" s="175">
        <v>200</v>
      </c>
      <c r="C983" s="175">
        <v>0</v>
      </c>
      <c r="D983" s="175">
        <v>0</v>
      </c>
      <c r="E983" s="175">
        <v>0</v>
      </c>
      <c r="F983" s="175">
        <v>0</v>
      </c>
      <c r="G983" s="331" t="s">
        <v>3156</v>
      </c>
      <c r="H983" s="331" t="s">
        <v>1426</v>
      </c>
      <c r="I983" s="175" t="s">
        <v>1427</v>
      </c>
      <c r="J983" s="350"/>
      <c r="K983" s="335">
        <f t="shared" si="15"/>
        <v>0</v>
      </c>
      <c r="L983" s="335">
        <v>0</v>
      </c>
      <c r="M983" s="335"/>
      <c r="N983" s="335">
        <v>0</v>
      </c>
      <c r="O983" s="232"/>
      <c r="P983" s="232"/>
      <c r="Q983" s="232"/>
      <c r="R983" s="232"/>
      <c r="S983" s="232"/>
      <c r="T983" s="232"/>
    </row>
    <row r="984" spans="1:20">
      <c r="A984" s="176">
        <v>390</v>
      </c>
      <c r="B984" s="175">
        <v>200</v>
      </c>
      <c r="C984" s="175">
        <v>100</v>
      </c>
      <c r="D984" s="175">
        <v>0</v>
      </c>
      <c r="E984" s="175">
        <v>0</v>
      </c>
      <c r="F984" s="175">
        <v>0</v>
      </c>
      <c r="G984" s="330" t="s">
        <v>3157</v>
      </c>
      <c r="H984" s="330" t="s">
        <v>1428</v>
      </c>
      <c r="I984" s="175" t="s">
        <v>1429</v>
      </c>
      <c r="J984" s="175"/>
      <c r="K984" s="334">
        <f t="shared" si="15"/>
        <v>0</v>
      </c>
      <c r="L984" s="334">
        <v>0</v>
      </c>
      <c r="M984" s="334"/>
      <c r="N984" s="334">
        <v>0</v>
      </c>
      <c r="O984" s="232"/>
      <c r="P984" s="232"/>
      <c r="Q984" s="232"/>
      <c r="R984" s="232"/>
      <c r="S984" s="232"/>
      <c r="T984" s="232"/>
    </row>
    <row r="985" spans="1:20">
      <c r="A985" s="176">
        <v>390</v>
      </c>
      <c r="B985" s="175">
        <v>200</v>
      </c>
      <c r="C985" s="175">
        <v>200</v>
      </c>
      <c r="D985" s="175">
        <v>0</v>
      </c>
      <c r="E985" s="175">
        <v>0</v>
      </c>
      <c r="F985" s="175">
        <v>0</v>
      </c>
      <c r="G985" s="330" t="s">
        <v>3158</v>
      </c>
      <c r="H985" s="330" t="s">
        <v>1430</v>
      </c>
      <c r="I985" s="175" t="s">
        <v>1431</v>
      </c>
      <c r="J985" s="175"/>
      <c r="K985" s="334">
        <f t="shared" si="15"/>
        <v>0</v>
      </c>
      <c r="L985" s="334">
        <v>0</v>
      </c>
      <c r="M985" s="334"/>
      <c r="N985" s="334">
        <v>0</v>
      </c>
      <c r="O985" s="232"/>
      <c r="P985" s="232"/>
      <c r="Q985" s="232"/>
      <c r="R985" s="232"/>
      <c r="S985" s="232"/>
      <c r="T985" s="232"/>
    </row>
    <row r="986" spans="1:20">
      <c r="A986" s="176">
        <v>390</v>
      </c>
      <c r="B986" s="175">
        <v>200</v>
      </c>
      <c r="C986" s="175">
        <v>300</v>
      </c>
      <c r="D986" s="175">
        <v>0</v>
      </c>
      <c r="E986" s="175">
        <v>0</v>
      </c>
      <c r="F986" s="175">
        <v>0</v>
      </c>
      <c r="G986" s="331" t="s">
        <v>3159</v>
      </c>
      <c r="H986" s="331" t="s">
        <v>1432</v>
      </c>
      <c r="I986" s="175" t="s">
        <v>1433</v>
      </c>
      <c r="J986" s="350"/>
      <c r="K986" s="335">
        <f t="shared" si="15"/>
        <v>0</v>
      </c>
      <c r="L986" s="335">
        <v>0</v>
      </c>
      <c r="M986" s="335"/>
      <c r="N986" s="335">
        <v>0</v>
      </c>
      <c r="O986" s="232"/>
      <c r="P986" s="232"/>
      <c r="Q986" s="232"/>
      <c r="R986" s="232"/>
      <c r="S986" s="232"/>
      <c r="T986" s="232"/>
    </row>
    <row r="987" spans="1:20" ht="25.5">
      <c r="A987" s="176">
        <v>390</v>
      </c>
      <c r="B987" s="175">
        <v>200</v>
      </c>
      <c r="C987" s="175">
        <v>300</v>
      </c>
      <c r="D987" s="175">
        <v>100</v>
      </c>
      <c r="E987" s="175">
        <v>0</v>
      </c>
      <c r="F987" s="175">
        <v>0</v>
      </c>
      <c r="G987" s="331" t="s">
        <v>3160</v>
      </c>
      <c r="H987" s="331" t="s">
        <v>1434</v>
      </c>
      <c r="I987" s="175" t="s">
        <v>1435</v>
      </c>
      <c r="J987" s="350" t="s">
        <v>1530</v>
      </c>
      <c r="K987" s="335">
        <f t="shared" si="15"/>
        <v>0</v>
      </c>
      <c r="L987" s="335">
        <v>0</v>
      </c>
      <c r="M987" s="335"/>
      <c r="N987" s="335">
        <v>0</v>
      </c>
      <c r="O987" s="232"/>
      <c r="P987" s="232"/>
      <c r="Q987" s="232"/>
      <c r="R987" s="232"/>
      <c r="S987" s="232"/>
      <c r="T987" s="232"/>
    </row>
    <row r="988" spans="1:20" ht="25.5">
      <c r="A988" s="176">
        <v>390</v>
      </c>
      <c r="B988" s="175">
        <v>200</v>
      </c>
      <c r="C988" s="175">
        <v>300</v>
      </c>
      <c r="D988" s="175">
        <v>100</v>
      </c>
      <c r="E988" s="175">
        <v>10</v>
      </c>
      <c r="F988" s="175">
        <v>0</v>
      </c>
      <c r="G988" s="330" t="s">
        <v>3161</v>
      </c>
      <c r="H988" s="330" t="s">
        <v>1436</v>
      </c>
      <c r="I988" s="175" t="s">
        <v>1437</v>
      </c>
      <c r="J988" s="175" t="s">
        <v>1530</v>
      </c>
      <c r="K988" s="334">
        <f t="shared" si="15"/>
        <v>0</v>
      </c>
      <c r="L988" s="334">
        <v>0</v>
      </c>
      <c r="M988" s="334"/>
      <c r="N988" s="334">
        <v>0</v>
      </c>
      <c r="O988" s="232"/>
      <c r="P988" s="232"/>
      <c r="Q988" s="232"/>
      <c r="R988" s="232"/>
      <c r="S988" s="232"/>
      <c r="T988" s="232"/>
    </row>
    <row r="989" spans="1:20" ht="25.5">
      <c r="A989" s="176">
        <v>390</v>
      </c>
      <c r="B989" s="175">
        <v>200</v>
      </c>
      <c r="C989" s="175">
        <v>300</v>
      </c>
      <c r="D989" s="175">
        <v>100</v>
      </c>
      <c r="E989" s="175">
        <v>20</v>
      </c>
      <c r="F989" s="175">
        <v>0</v>
      </c>
      <c r="G989" s="330" t="s">
        <v>3162</v>
      </c>
      <c r="H989" s="330" t="s">
        <v>1438</v>
      </c>
      <c r="I989" s="175" t="s">
        <v>1439</v>
      </c>
      <c r="J989" s="175" t="s">
        <v>1530</v>
      </c>
      <c r="K989" s="334">
        <f t="shared" si="15"/>
        <v>40638.69</v>
      </c>
      <c r="L989" s="334">
        <v>40638.69</v>
      </c>
      <c r="M989" s="334"/>
      <c r="N989" s="334">
        <v>1795337.27</v>
      </c>
      <c r="O989" s="232"/>
      <c r="P989" s="232"/>
      <c r="Q989" s="232"/>
      <c r="R989" s="232"/>
      <c r="S989" s="232"/>
      <c r="T989" s="232"/>
    </row>
    <row r="990" spans="1:20">
      <c r="A990" s="176">
        <v>390</v>
      </c>
      <c r="B990" s="175">
        <v>200</v>
      </c>
      <c r="C990" s="175">
        <v>300</v>
      </c>
      <c r="D990" s="175">
        <v>200</v>
      </c>
      <c r="E990" s="175">
        <v>0</v>
      </c>
      <c r="F990" s="175">
        <v>0</v>
      </c>
      <c r="G990" s="331" t="s">
        <v>3163</v>
      </c>
      <c r="H990" s="331" t="s">
        <v>1440</v>
      </c>
      <c r="I990" s="175" t="s">
        <v>1441</v>
      </c>
      <c r="J990" s="350"/>
      <c r="K990" s="335">
        <f t="shared" si="15"/>
        <v>0</v>
      </c>
      <c r="L990" s="335">
        <v>0</v>
      </c>
      <c r="M990" s="335"/>
      <c r="N990" s="335">
        <v>0</v>
      </c>
      <c r="O990" s="232"/>
      <c r="P990" s="232"/>
      <c r="Q990" s="232"/>
      <c r="R990" s="232"/>
      <c r="S990" s="232"/>
      <c r="T990" s="232"/>
    </row>
    <row r="991" spans="1:20" ht="25.5">
      <c r="A991" s="176">
        <v>390</v>
      </c>
      <c r="B991" s="175">
        <v>200</v>
      </c>
      <c r="C991" s="175">
        <v>300</v>
      </c>
      <c r="D991" s="175">
        <v>200</v>
      </c>
      <c r="E991" s="175">
        <v>10</v>
      </c>
      <c r="F991" s="175">
        <v>0</v>
      </c>
      <c r="G991" s="330" t="s">
        <v>3164</v>
      </c>
      <c r="H991" s="330" t="s">
        <v>1442</v>
      </c>
      <c r="I991" s="175" t="s">
        <v>1443</v>
      </c>
      <c r="J991" s="175" t="s">
        <v>1575</v>
      </c>
      <c r="K991" s="334">
        <f t="shared" si="15"/>
        <v>0</v>
      </c>
      <c r="L991" s="334">
        <v>0</v>
      </c>
      <c r="M991" s="334"/>
      <c r="N991" s="334">
        <v>0</v>
      </c>
      <c r="O991" s="232"/>
      <c r="P991" s="232"/>
      <c r="Q991" s="232"/>
      <c r="R991" s="232"/>
      <c r="S991" s="232"/>
      <c r="T991" s="232"/>
    </row>
    <row r="992" spans="1:20">
      <c r="A992" s="176">
        <v>390</v>
      </c>
      <c r="B992" s="175">
        <v>200</v>
      </c>
      <c r="C992" s="175">
        <v>300</v>
      </c>
      <c r="D992" s="175">
        <v>200</v>
      </c>
      <c r="E992" s="175">
        <v>20</v>
      </c>
      <c r="F992" s="175">
        <v>0</v>
      </c>
      <c r="G992" s="331" t="s">
        <v>3165</v>
      </c>
      <c r="H992" s="331" t="s">
        <v>1444</v>
      </c>
      <c r="I992" s="175" t="s">
        <v>1445</v>
      </c>
      <c r="J992" s="350"/>
      <c r="K992" s="335">
        <f t="shared" si="15"/>
        <v>0</v>
      </c>
      <c r="L992" s="335">
        <v>0</v>
      </c>
      <c r="M992" s="335"/>
      <c r="N992" s="335">
        <v>0</v>
      </c>
      <c r="O992" s="232"/>
      <c r="P992" s="232"/>
      <c r="Q992" s="232"/>
      <c r="R992" s="232"/>
      <c r="S992" s="232"/>
      <c r="T992" s="232"/>
    </row>
    <row r="993" spans="1:20" ht="25.5">
      <c r="A993" s="176">
        <v>390</v>
      </c>
      <c r="B993" s="175">
        <v>200</v>
      </c>
      <c r="C993" s="175">
        <v>300</v>
      </c>
      <c r="D993" s="175">
        <v>200</v>
      </c>
      <c r="E993" s="175">
        <v>20</v>
      </c>
      <c r="F993" s="175">
        <v>5</v>
      </c>
      <c r="G993" s="330" t="s">
        <v>3166</v>
      </c>
      <c r="H993" s="330" t="s">
        <v>1446</v>
      </c>
      <c r="I993" s="175" t="s">
        <v>1447</v>
      </c>
      <c r="J993" s="175"/>
      <c r="K993" s="334">
        <f t="shared" si="15"/>
        <v>224830.35</v>
      </c>
      <c r="L993" s="334">
        <v>224830.35</v>
      </c>
      <c r="M993" s="334"/>
      <c r="N993" s="334">
        <v>33101.15</v>
      </c>
      <c r="O993" s="232"/>
      <c r="P993" s="232"/>
      <c r="Q993" s="232"/>
      <c r="R993" s="232"/>
      <c r="S993" s="232"/>
      <c r="T993" s="232"/>
    </row>
    <row r="994" spans="1:20" ht="25.5">
      <c r="A994" s="176">
        <v>390</v>
      </c>
      <c r="B994" s="175">
        <v>200</v>
      </c>
      <c r="C994" s="175">
        <v>300</v>
      </c>
      <c r="D994" s="175">
        <v>200</v>
      </c>
      <c r="E994" s="175">
        <v>20</v>
      </c>
      <c r="F994" s="175">
        <v>10</v>
      </c>
      <c r="G994" s="330" t="s">
        <v>3167</v>
      </c>
      <c r="H994" s="330" t="s">
        <v>1448</v>
      </c>
      <c r="I994" s="175" t="s">
        <v>1449</v>
      </c>
      <c r="J994" s="175"/>
      <c r="K994" s="334">
        <f t="shared" si="15"/>
        <v>0</v>
      </c>
      <c r="L994" s="334">
        <v>0</v>
      </c>
      <c r="M994" s="334"/>
      <c r="N994" s="334">
        <v>0</v>
      </c>
      <c r="O994" s="232"/>
      <c r="P994" s="232"/>
      <c r="Q994" s="232"/>
      <c r="R994" s="232"/>
      <c r="S994" s="232"/>
      <c r="T994" s="232"/>
    </row>
    <row r="995" spans="1:20" ht="25.5">
      <c r="A995" s="176">
        <v>390</v>
      </c>
      <c r="B995" s="175">
        <v>200</v>
      </c>
      <c r="C995" s="175">
        <v>300</v>
      </c>
      <c r="D995" s="175">
        <v>200</v>
      </c>
      <c r="E995" s="175">
        <v>20</v>
      </c>
      <c r="F995" s="175">
        <v>15</v>
      </c>
      <c r="G995" s="330" t="s">
        <v>3168</v>
      </c>
      <c r="H995" s="330" t="s">
        <v>1450</v>
      </c>
      <c r="I995" s="175" t="s">
        <v>1451</v>
      </c>
      <c r="J995" s="175"/>
      <c r="K995" s="334">
        <f t="shared" si="15"/>
        <v>379143.05</v>
      </c>
      <c r="L995" s="334">
        <v>379143.05</v>
      </c>
      <c r="M995" s="334"/>
      <c r="N995" s="334">
        <v>76248.12</v>
      </c>
      <c r="O995" s="232"/>
      <c r="P995" s="232"/>
      <c r="Q995" s="232"/>
      <c r="R995" s="232"/>
      <c r="S995" s="232"/>
      <c r="T995" s="232"/>
    </row>
    <row r="996" spans="1:20" ht="25.5">
      <c r="A996" s="176">
        <v>390</v>
      </c>
      <c r="B996" s="175">
        <v>200</v>
      </c>
      <c r="C996" s="175">
        <v>300</v>
      </c>
      <c r="D996" s="175">
        <v>200</v>
      </c>
      <c r="E996" s="175">
        <v>30</v>
      </c>
      <c r="F996" s="175">
        <v>0</v>
      </c>
      <c r="G996" s="330" t="s">
        <v>3169</v>
      </c>
      <c r="H996" s="330" t="s">
        <v>1452</v>
      </c>
      <c r="I996" s="175" t="s">
        <v>1453</v>
      </c>
      <c r="J996" s="175"/>
      <c r="K996" s="334">
        <f t="shared" si="15"/>
        <v>0</v>
      </c>
      <c r="L996" s="334">
        <v>0</v>
      </c>
      <c r="M996" s="334"/>
      <c r="N996" s="334">
        <v>0</v>
      </c>
      <c r="O996" s="232"/>
      <c r="P996" s="232"/>
      <c r="Q996" s="232"/>
      <c r="R996" s="232"/>
      <c r="S996" s="232"/>
      <c r="T996" s="232"/>
    </row>
    <row r="997" spans="1:20" ht="25.5">
      <c r="A997" s="176">
        <v>390</v>
      </c>
      <c r="B997" s="175">
        <v>200</v>
      </c>
      <c r="C997" s="175">
        <v>300</v>
      </c>
      <c r="D997" s="175">
        <v>200</v>
      </c>
      <c r="E997" s="175">
        <v>40</v>
      </c>
      <c r="F997" s="175">
        <v>0</v>
      </c>
      <c r="G997" s="330" t="s">
        <v>3170</v>
      </c>
      <c r="H997" s="330" t="s">
        <v>1454</v>
      </c>
      <c r="I997" s="175" t="s">
        <v>1455</v>
      </c>
      <c r="J997" s="175"/>
      <c r="K997" s="334">
        <f t="shared" si="15"/>
        <v>0</v>
      </c>
      <c r="L997" s="334">
        <v>0</v>
      </c>
      <c r="M997" s="334"/>
      <c r="N997" s="334">
        <v>0</v>
      </c>
      <c r="O997" s="232"/>
      <c r="P997" s="232"/>
      <c r="Q997" s="232"/>
      <c r="R997" s="232"/>
      <c r="S997" s="232"/>
      <c r="T997" s="232"/>
    </row>
    <row r="998" spans="1:20" ht="25.5">
      <c r="A998" s="176">
        <v>390</v>
      </c>
      <c r="B998" s="175">
        <v>200</v>
      </c>
      <c r="C998" s="175">
        <v>300</v>
      </c>
      <c r="D998" s="175">
        <v>200</v>
      </c>
      <c r="E998" s="175">
        <v>50</v>
      </c>
      <c r="F998" s="175">
        <v>0</v>
      </c>
      <c r="G998" s="330" t="s">
        <v>3171</v>
      </c>
      <c r="H998" s="330" t="s">
        <v>1456</v>
      </c>
      <c r="I998" s="175" t="s">
        <v>1457</v>
      </c>
      <c r="J998" s="175"/>
      <c r="K998" s="334">
        <f t="shared" si="15"/>
        <v>0</v>
      </c>
      <c r="L998" s="334">
        <v>0</v>
      </c>
      <c r="M998" s="334"/>
      <c r="N998" s="334">
        <v>0</v>
      </c>
      <c r="O998" s="232"/>
      <c r="P998" s="232"/>
      <c r="Q998" s="232"/>
      <c r="R998" s="232"/>
      <c r="S998" s="232"/>
      <c r="T998" s="232"/>
    </row>
    <row r="999" spans="1:20" ht="25.5">
      <c r="A999" s="176">
        <v>390</v>
      </c>
      <c r="B999" s="175">
        <v>200</v>
      </c>
      <c r="C999" s="175">
        <v>300</v>
      </c>
      <c r="D999" s="175">
        <v>200</v>
      </c>
      <c r="E999" s="175">
        <v>60</v>
      </c>
      <c r="F999" s="175">
        <v>0</v>
      </c>
      <c r="G999" s="330" t="s">
        <v>3172</v>
      </c>
      <c r="H999" s="330" t="s">
        <v>1458</v>
      </c>
      <c r="I999" s="175" t="s">
        <v>1459</v>
      </c>
      <c r="J999" s="175"/>
      <c r="K999" s="334">
        <f t="shared" si="15"/>
        <v>63258.65</v>
      </c>
      <c r="L999" s="334">
        <v>63258.65</v>
      </c>
      <c r="M999" s="334"/>
      <c r="N999" s="334">
        <v>65725.48</v>
      </c>
      <c r="O999" s="232"/>
      <c r="P999" s="232"/>
      <c r="Q999" s="232"/>
      <c r="R999" s="232"/>
      <c r="S999" s="232"/>
      <c r="T999" s="232"/>
    </row>
    <row r="1000" spans="1:20">
      <c r="A1000" s="176">
        <v>390</v>
      </c>
      <c r="B1000" s="175">
        <v>200</v>
      </c>
      <c r="C1000" s="175">
        <v>300</v>
      </c>
      <c r="D1000" s="175">
        <v>200</v>
      </c>
      <c r="E1000" s="175">
        <v>90</v>
      </c>
      <c r="F1000" s="175">
        <v>0</v>
      </c>
      <c r="G1000" s="330" t="s">
        <v>3173</v>
      </c>
      <c r="H1000" s="330" t="s">
        <v>1460</v>
      </c>
      <c r="I1000" s="175" t="s">
        <v>1461</v>
      </c>
      <c r="J1000" s="175"/>
      <c r="K1000" s="334">
        <f t="shared" si="15"/>
        <v>14193.02</v>
      </c>
      <c r="L1000" s="334">
        <v>14193.02</v>
      </c>
      <c r="M1000" s="334"/>
      <c r="N1000" s="334">
        <v>17308.05</v>
      </c>
      <c r="O1000" s="232"/>
      <c r="P1000" s="232"/>
      <c r="Q1000" s="232"/>
      <c r="R1000" s="232"/>
      <c r="S1000" s="232"/>
      <c r="T1000" s="232"/>
    </row>
    <row r="1001" spans="1:20">
      <c r="A1001" s="176">
        <v>390</v>
      </c>
      <c r="B1001" s="175">
        <v>200</v>
      </c>
      <c r="C1001" s="175">
        <v>400</v>
      </c>
      <c r="D1001" s="175">
        <v>0</v>
      </c>
      <c r="E1001" s="175">
        <v>0</v>
      </c>
      <c r="F1001" s="175">
        <v>0</v>
      </c>
      <c r="G1001" s="331" t="s">
        <v>3174</v>
      </c>
      <c r="H1001" s="331" t="s">
        <v>1462</v>
      </c>
      <c r="I1001" s="175" t="s">
        <v>1463</v>
      </c>
      <c r="J1001" s="350"/>
      <c r="K1001" s="335">
        <f t="shared" si="15"/>
        <v>0</v>
      </c>
      <c r="L1001" s="335">
        <v>0</v>
      </c>
      <c r="M1001" s="335"/>
      <c r="N1001" s="335">
        <v>0</v>
      </c>
      <c r="O1001" s="232"/>
      <c r="P1001" s="232"/>
      <c r="Q1001" s="232"/>
      <c r="R1001" s="232"/>
      <c r="S1001" s="232"/>
      <c r="T1001" s="232"/>
    </row>
    <row r="1002" spans="1:20">
      <c r="A1002" s="176">
        <v>390</v>
      </c>
      <c r="B1002" s="175">
        <v>200</v>
      </c>
      <c r="C1002" s="175">
        <v>400</v>
      </c>
      <c r="D1002" s="175">
        <v>50</v>
      </c>
      <c r="E1002" s="175">
        <v>0</v>
      </c>
      <c r="F1002" s="175">
        <v>0</v>
      </c>
      <c r="G1002" s="330" t="s">
        <v>3175</v>
      </c>
      <c r="H1002" s="330" t="s">
        <v>1464</v>
      </c>
      <c r="I1002" s="175" t="s">
        <v>1465</v>
      </c>
      <c r="J1002" s="175"/>
      <c r="K1002" s="334">
        <f t="shared" si="15"/>
        <v>0</v>
      </c>
      <c r="L1002" s="334">
        <v>0</v>
      </c>
      <c r="M1002" s="334"/>
      <c r="N1002" s="334">
        <v>0</v>
      </c>
      <c r="O1002" s="232"/>
      <c r="P1002" s="232"/>
      <c r="Q1002" s="232"/>
      <c r="R1002" s="232"/>
      <c r="S1002" s="232"/>
      <c r="T1002" s="232"/>
    </row>
    <row r="1003" spans="1:20" ht="25.5">
      <c r="A1003" s="176">
        <v>390</v>
      </c>
      <c r="B1003" s="175">
        <v>200</v>
      </c>
      <c r="C1003" s="175">
        <v>400</v>
      </c>
      <c r="D1003" s="175">
        <v>100</v>
      </c>
      <c r="E1003" s="175">
        <v>0</v>
      </c>
      <c r="F1003" s="175">
        <v>0</v>
      </c>
      <c r="G1003" s="330" t="s">
        <v>3176</v>
      </c>
      <c r="H1003" s="330" t="s">
        <v>1466</v>
      </c>
      <c r="I1003" s="175" t="s">
        <v>1467</v>
      </c>
      <c r="J1003" s="175" t="s">
        <v>1530</v>
      </c>
      <c r="K1003" s="334">
        <f t="shared" si="15"/>
        <v>92893.57</v>
      </c>
      <c r="L1003" s="334">
        <v>92893.57</v>
      </c>
      <c r="M1003" s="334"/>
      <c r="N1003" s="334">
        <v>0</v>
      </c>
      <c r="O1003" s="232"/>
      <c r="P1003" s="232"/>
      <c r="Q1003" s="232"/>
      <c r="R1003" s="232"/>
      <c r="S1003" s="232"/>
      <c r="T1003" s="232"/>
    </row>
    <row r="1004" spans="1:20">
      <c r="A1004" s="176">
        <v>390</v>
      </c>
      <c r="B1004" s="175">
        <v>200</v>
      </c>
      <c r="C1004" s="175">
        <v>400</v>
      </c>
      <c r="D1004" s="175">
        <v>200</v>
      </c>
      <c r="E1004" s="175">
        <v>0</v>
      </c>
      <c r="F1004" s="175">
        <v>0</v>
      </c>
      <c r="G1004" s="331" t="s">
        <v>3177</v>
      </c>
      <c r="H1004" s="331" t="s">
        <v>1468</v>
      </c>
      <c r="I1004" s="175" t="s">
        <v>1469</v>
      </c>
      <c r="J1004" s="350"/>
      <c r="K1004" s="335">
        <f t="shared" si="15"/>
        <v>0</v>
      </c>
      <c r="L1004" s="335">
        <v>0</v>
      </c>
      <c r="M1004" s="335"/>
      <c r="N1004" s="335">
        <v>0</v>
      </c>
      <c r="O1004" s="232"/>
      <c r="P1004" s="232"/>
      <c r="Q1004" s="232"/>
      <c r="R1004" s="232"/>
      <c r="S1004" s="232"/>
      <c r="T1004" s="232"/>
    </row>
    <row r="1005" spans="1:20" ht="25.5">
      <c r="A1005" s="176">
        <v>390</v>
      </c>
      <c r="B1005" s="175">
        <v>200</v>
      </c>
      <c r="C1005" s="175">
        <v>400</v>
      </c>
      <c r="D1005" s="175">
        <v>200</v>
      </c>
      <c r="E1005" s="175">
        <v>10</v>
      </c>
      <c r="F1005" s="175">
        <v>0</v>
      </c>
      <c r="G1005" s="330" t="s">
        <v>3178</v>
      </c>
      <c r="H1005" s="330" t="s">
        <v>1470</v>
      </c>
      <c r="I1005" s="175" t="s">
        <v>1471</v>
      </c>
      <c r="J1005" s="175" t="s">
        <v>1575</v>
      </c>
      <c r="K1005" s="334">
        <f t="shared" si="15"/>
        <v>0</v>
      </c>
      <c r="L1005" s="334">
        <v>0</v>
      </c>
      <c r="M1005" s="334"/>
      <c r="N1005" s="334">
        <v>0</v>
      </c>
      <c r="O1005" s="232"/>
      <c r="P1005" s="232"/>
      <c r="Q1005" s="232"/>
      <c r="R1005" s="232"/>
      <c r="S1005" s="232"/>
      <c r="T1005" s="232"/>
    </row>
    <row r="1006" spans="1:20" ht="31.15" customHeight="1">
      <c r="A1006" s="176">
        <v>390</v>
      </c>
      <c r="B1006" s="175">
        <v>200</v>
      </c>
      <c r="C1006" s="175">
        <v>400</v>
      </c>
      <c r="D1006" s="175">
        <v>200</v>
      </c>
      <c r="E1006" s="175">
        <v>20</v>
      </c>
      <c r="F1006" s="175">
        <v>0</v>
      </c>
      <c r="G1006" s="330" t="s">
        <v>3179</v>
      </c>
      <c r="H1006" s="330" t="s">
        <v>1472</v>
      </c>
      <c r="I1006" s="175" t="s">
        <v>1473</v>
      </c>
      <c r="J1006" s="175"/>
      <c r="K1006" s="334">
        <f t="shared" si="15"/>
        <v>0</v>
      </c>
      <c r="L1006" s="334">
        <v>0</v>
      </c>
      <c r="M1006" s="334"/>
      <c r="N1006" s="334">
        <v>1676.8</v>
      </c>
      <c r="O1006" s="232"/>
      <c r="P1006" s="232"/>
      <c r="Q1006" s="232"/>
      <c r="R1006" s="232"/>
      <c r="S1006" s="232"/>
      <c r="T1006" s="232"/>
    </row>
    <row r="1007" spans="1:20" ht="31.15" customHeight="1">
      <c r="A1007" s="176">
        <v>390</v>
      </c>
      <c r="B1007" s="175">
        <v>200</v>
      </c>
      <c r="C1007" s="175">
        <v>400</v>
      </c>
      <c r="D1007" s="175">
        <v>200</v>
      </c>
      <c r="E1007" s="175">
        <v>30</v>
      </c>
      <c r="F1007" s="175">
        <v>0</v>
      </c>
      <c r="G1007" s="330" t="s">
        <v>3180</v>
      </c>
      <c r="H1007" s="330" t="s">
        <v>1474</v>
      </c>
      <c r="I1007" s="175" t="s">
        <v>1475</v>
      </c>
      <c r="J1007" s="175"/>
      <c r="K1007" s="334">
        <f t="shared" si="15"/>
        <v>0</v>
      </c>
      <c r="L1007" s="334">
        <v>0</v>
      </c>
      <c r="M1007" s="334"/>
      <c r="N1007" s="334">
        <v>0</v>
      </c>
      <c r="O1007" s="232"/>
      <c r="P1007" s="232"/>
      <c r="Q1007" s="232"/>
      <c r="R1007" s="232"/>
      <c r="S1007" s="232"/>
      <c r="T1007" s="232"/>
    </row>
    <row r="1008" spans="1:20" ht="25.5">
      <c r="A1008" s="176">
        <v>390</v>
      </c>
      <c r="B1008" s="175">
        <v>200</v>
      </c>
      <c r="C1008" s="175">
        <v>400</v>
      </c>
      <c r="D1008" s="175">
        <v>200</v>
      </c>
      <c r="E1008" s="175">
        <v>40</v>
      </c>
      <c r="F1008" s="175">
        <v>0</v>
      </c>
      <c r="G1008" s="330" t="s">
        <v>3181</v>
      </c>
      <c r="H1008" s="330" t="s">
        <v>1476</v>
      </c>
      <c r="I1008" s="175" t="s">
        <v>1477</v>
      </c>
      <c r="J1008" s="175"/>
      <c r="K1008" s="334">
        <f t="shared" si="15"/>
        <v>0</v>
      </c>
      <c r="L1008" s="334">
        <v>0</v>
      </c>
      <c r="M1008" s="334"/>
      <c r="N1008" s="334">
        <v>0</v>
      </c>
      <c r="O1008" s="232"/>
      <c r="P1008" s="232"/>
      <c r="Q1008" s="232"/>
      <c r="R1008" s="232"/>
      <c r="S1008" s="232"/>
      <c r="T1008" s="232"/>
    </row>
    <row r="1009" spans="1:20" ht="25.5">
      <c r="A1009" s="176">
        <v>390</v>
      </c>
      <c r="B1009" s="175">
        <v>200</v>
      </c>
      <c r="C1009" s="175">
        <v>400</v>
      </c>
      <c r="D1009" s="175">
        <v>200</v>
      </c>
      <c r="E1009" s="175">
        <v>50</v>
      </c>
      <c r="F1009" s="175">
        <v>0</v>
      </c>
      <c r="G1009" s="330" t="s">
        <v>3182</v>
      </c>
      <c r="H1009" s="330" t="s">
        <v>1478</v>
      </c>
      <c r="I1009" s="175" t="s">
        <v>1479</v>
      </c>
      <c r="J1009" s="175"/>
      <c r="K1009" s="334">
        <f t="shared" si="15"/>
        <v>0</v>
      </c>
      <c r="L1009" s="334">
        <v>0</v>
      </c>
      <c r="M1009" s="334"/>
      <c r="N1009" s="334">
        <v>0</v>
      </c>
      <c r="O1009" s="232"/>
      <c r="P1009" s="232"/>
      <c r="Q1009" s="232"/>
      <c r="R1009" s="232"/>
      <c r="S1009" s="232"/>
      <c r="T1009" s="232"/>
    </row>
    <row r="1010" spans="1:20" ht="25.5">
      <c r="A1010" s="176">
        <v>390</v>
      </c>
      <c r="B1010" s="175">
        <v>200</v>
      </c>
      <c r="C1010" s="175">
        <v>400</v>
      </c>
      <c r="D1010" s="175">
        <v>200</v>
      </c>
      <c r="E1010" s="175">
        <v>60</v>
      </c>
      <c r="F1010" s="175">
        <v>0</v>
      </c>
      <c r="G1010" s="330" t="s">
        <v>3183</v>
      </c>
      <c r="H1010" s="330" t="s">
        <v>1480</v>
      </c>
      <c r="I1010" s="175" t="s">
        <v>1481</v>
      </c>
      <c r="J1010" s="175"/>
      <c r="K1010" s="334">
        <f t="shared" si="15"/>
        <v>211.23</v>
      </c>
      <c r="L1010" s="334">
        <v>211.23</v>
      </c>
      <c r="M1010" s="334"/>
      <c r="N1010" s="334">
        <v>0</v>
      </c>
      <c r="O1010" s="232"/>
      <c r="P1010" s="232"/>
      <c r="Q1010" s="232"/>
      <c r="R1010" s="232"/>
      <c r="S1010" s="232"/>
      <c r="T1010" s="232"/>
    </row>
    <row r="1011" spans="1:20">
      <c r="A1011" s="176">
        <v>390</v>
      </c>
      <c r="B1011" s="175">
        <v>200</v>
      </c>
      <c r="C1011" s="175">
        <v>400</v>
      </c>
      <c r="D1011" s="175">
        <v>200</v>
      </c>
      <c r="E1011" s="175">
        <v>70</v>
      </c>
      <c r="F1011" s="175">
        <v>0</v>
      </c>
      <c r="G1011" s="330" t="s">
        <v>3184</v>
      </c>
      <c r="H1011" s="330" t="s">
        <v>1482</v>
      </c>
      <c r="I1011" s="175" t="s">
        <v>1483</v>
      </c>
      <c r="J1011" s="175"/>
      <c r="K1011" s="334">
        <f t="shared" si="15"/>
        <v>164842.63</v>
      </c>
      <c r="L1011" s="334">
        <v>164842.63</v>
      </c>
      <c r="M1011" s="334"/>
      <c r="N1011" s="334">
        <v>1934377.25</v>
      </c>
      <c r="O1011" s="232"/>
      <c r="P1011" s="232"/>
      <c r="Q1011" s="232"/>
      <c r="R1011" s="232"/>
      <c r="S1011" s="232"/>
      <c r="T1011" s="232"/>
    </row>
    <row r="1012" spans="1:20">
      <c r="A1012" s="176">
        <v>390</v>
      </c>
      <c r="B1012" s="175">
        <v>200</v>
      </c>
      <c r="C1012" s="175">
        <v>500</v>
      </c>
      <c r="D1012" s="175">
        <v>0</v>
      </c>
      <c r="E1012" s="175">
        <v>0</v>
      </c>
      <c r="F1012" s="175">
        <v>0</v>
      </c>
      <c r="G1012" s="330" t="s">
        <v>3185</v>
      </c>
      <c r="H1012" s="330" t="s">
        <v>1426</v>
      </c>
      <c r="I1012" s="175" t="s">
        <v>1484</v>
      </c>
      <c r="J1012" s="175"/>
      <c r="K1012" s="334">
        <f t="shared" si="15"/>
        <v>146.18</v>
      </c>
      <c r="L1012" s="334">
        <v>146.18</v>
      </c>
      <c r="M1012" s="334"/>
      <c r="N1012" s="334">
        <v>1279.71</v>
      </c>
      <c r="O1012" s="232"/>
      <c r="P1012" s="232"/>
      <c r="Q1012" s="232"/>
      <c r="R1012" s="232"/>
      <c r="S1012" s="232"/>
      <c r="T1012" s="232"/>
    </row>
    <row r="1013" spans="1:20">
      <c r="A1013" s="404">
        <v>400</v>
      </c>
      <c r="B1013" s="405">
        <v>0</v>
      </c>
      <c r="C1013" s="405">
        <v>0</v>
      </c>
      <c r="D1013" s="405">
        <v>0</v>
      </c>
      <c r="E1013" s="405">
        <v>0</v>
      </c>
      <c r="F1013" s="405">
        <v>0</v>
      </c>
      <c r="G1013" s="339">
        <v>400</v>
      </c>
      <c r="H1013" s="339" t="s">
        <v>109</v>
      </c>
      <c r="I1013" s="52" t="s">
        <v>1485</v>
      </c>
      <c r="J1013" s="52"/>
      <c r="K1013" s="335">
        <f t="shared" si="15"/>
        <v>0</v>
      </c>
      <c r="L1013" s="335">
        <v>0</v>
      </c>
      <c r="M1013" s="335"/>
      <c r="N1013" s="335">
        <v>0</v>
      </c>
      <c r="O1013" s="232"/>
      <c r="P1013" s="232"/>
      <c r="Q1013" s="232"/>
      <c r="R1013" s="232"/>
      <c r="S1013" s="232"/>
      <c r="T1013" s="232"/>
    </row>
    <row r="1014" spans="1:20">
      <c r="A1014" s="176">
        <v>400</v>
      </c>
      <c r="B1014" s="175">
        <v>100</v>
      </c>
      <c r="C1014" s="175">
        <v>0</v>
      </c>
      <c r="D1014" s="175">
        <v>0</v>
      </c>
      <c r="E1014" s="175">
        <v>0</v>
      </c>
      <c r="F1014" s="175">
        <v>0</v>
      </c>
      <c r="G1014" s="330" t="s">
        <v>3186</v>
      </c>
      <c r="H1014" s="330" t="s">
        <v>1486</v>
      </c>
      <c r="I1014" s="175" t="s">
        <v>1487</v>
      </c>
      <c r="J1014" s="175"/>
      <c r="K1014" s="334">
        <f t="shared" si="15"/>
        <v>3087720.78</v>
      </c>
      <c r="L1014" s="334">
        <v>3087720.78</v>
      </c>
      <c r="M1014" s="334"/>
      <c r="N1014" s="334">
        <v>2853937.69</v>
      </c>
      <c r="O1014" s="232"/>
      <c r="P1014" s="232"/>
      <c r="Q1014" s="232"/>
      <c r="R1014" s="232"/>
      <c r="S1014" s="232"/>
      <c r="T1014" s="232"/>
    </row>
    <row r="1015" spans="1:20" ht="25.5">
      <c r="A1015" s="176">
        <v>400</v>
      </c>
      <c r="B1015" s="175">
        <v>200</v>
      </c>
      <c r="C1015" s="175">
        <v>0</v>
      </c>
      <c r="D1015" s="175">
        <v>0</v>
      </c>
      <c r="E1015" s="175">
        <v>0</v>
      </c>
      <c r="F1015" s="175">
        <v>0</v>
      </c>
      <c r="G1015" s="330" t="s">
        <v>3187</v>
      </c>
      <c r="H1015" s="330" t="s">
        <v>1488</v>
      </c>
      <c r="I1015" s="175" t="s">
        <v>1489</v>
      </c>
      <c r="J1015" s="175"/>
      <c r="K1015" s="334">
        <f t="shared" ref="K1015:K1021" si="16">+L1015+M1015</f>
        <v>175770.37</v>
      </c>
      <c r="L1015" s="334">
        <v>175770.37</v>
      </c>
      <c r="M1015" s="334"/>
      <c r="N1015" s="334">
        <v>147542.73000000001</v>
      </c>
      <c r="O1015" s="232"/>
      <c r="P1015" s="232"/>
      <c r="Q1015" s="232"/>
      <c r="R1015" s="232"/>
      <c r="S1015" s="232"/>
      <c r="T1015" s="232"/>
    </row>
    <row r="1016" spans="1:20" ht="25.5">
      <c r="A1016" s="176">
        <v>400</v>
      </c>
      <c r="B1016" s="175">
        <v>300</v>
      </c>
      <c r="C1016" s="175">
        <v>0</v>
      </c>
      <c r="D1016" s="175">
        <v>0</v>
      </c>
      <c r="E1016" s="175">
        <v>0</v>
      </c>
      <c r="F1016" s="175">
        <v>0</v>
      </c>
      <c r="G1016" s="330" t="s">
        <v>3188</v>
      </c>
      <c r="H1016" s="330" t="s">
        <v>1490</v>
      </c>
      <c r="I1016" s="175" t="s">
        <v>1491</v>
      </c>
      <c r="J1016" s="175"/>
      <c r="K1016" s="334">
        <f t="shared" si="16"/>
        <v>73596.66</v>
      </c>
      <c r="L1016" s="334">
        <v>73596.66</v>
      </c>
      <c r="M1016" s="334"/>
      <c r="N1016" s="334">
        <v>70189.710000000006</v>
      </c>
      <c r="O1016" s="232"/>
      <c r="P1016" s="232"/>
      <c r="Q1016" s="232"/>
      <c r="R1016" s="232"/>
      <c r="S1016" s="232"/>
      <c r="T1016" s="232"/>
    </row>
    <row r="1017" spans="1:20">
      <c r="A1017" s="176">
        <v>400</v>
      </c>
      <c r="B1017" s="175">
        <v>400</v>
      </c>
      <c r="C1017" s="175">
        <v>0</v>
      </c>
      <c r="D1017" s="175">
        <v>0</v>
      </c>
      <c r="E1017" s="175">
        <v>0</v>
      </c>
      <c r="F1017" s="175">
        <v>0</v>
      </c>
      <c r="G1017" s="330" t="s">
        <v>3189</v>
      </c>
      <c r="H1017" s="330" t="s">
        <v>1492</v>
      </c>
      <c r="I1017" s="175" t="s">
        <v>1493</v>
      </c>
      <c r="J1017" s="175"/>
      <c r="K1017" s="334">
        <f t="shared" si="16"/>
        <v>0</v>
      </c>
      <c r="L1017" s="334">
        <v>0</v>
      </c>
      <c r="M1017" s="334"/>
      <c r="N1017" s="334">
        <v>0</v>
      </c>
      <c r="O1017" s="232"/>
      <c r="P1017" s="232"/>
      <c r="Q1017" s="232"/>
      <c r="R1017" s="232"/>
      <c r="S1017" s="232"/>
      <c r="T1017" s="232"/>
    </row>
    <row r="1018" spans="1:20">
      <c r="A1018" s="404">
        <v>405</v>
      </c>
      <c r="B1018" s="405">
        <v>0</v>
      </c>
      <c r="C1018" s="405">
        <v>0</v>
      </c>
      <c r="D1018" s="405">
        <v>0</v>
      </c>
      <c r="E1018" s="405">
        <v>0</v>
      </c>
      <c r="F1018" s="405">
        <v>0</v>
      </c>
      <c r="G1018" s="339">
        <v>405</v>
      </c>
      <c r="H1018" s="339" t="s">
        <v>114</v>
      </c>
      <c r="I1018" s="52" t="s">
        <v>1494</v>
      </c>
      <c r="J1018" s="52"/>
      <c r="K1018" s="335">
        <f t="shared" si="16"/>
        <v>0</v>
      </c>
      <c r="L1018" s="335">
        <v>0</v>
      </c>
      <c r="M1018" s="335"/>
      <c r="N1018" s="335">
        <v>0</v>
      </c>
      <c r="O1018" s="232"/>
      <c r="P1018" s="232"/>
      <c r="Q1018" s="232"/>
      <c r="R1018" s="232"/>
      <c r="S1018" s="232"/>
      <c r="T1018" s="232"/>
    </row>
    <row r="1019" spans="1:20">
      <c r="A1019" s="176">
        <v>405</v>
      </c>
      <c r="B1019" s="175">
        <v>100</v>
      </c>
      <c r="C1019" s="175">
        <v>0</v>
      </c>
      <c r="D1019" s="175">
        <v>0</v>
      </c>
      <c r="E1019" s="175">
        <v>0</v>
      </c>
      <c r="F1019" s="175">
        <v>0</v>
      </c>
      <c r="G1019" s="330" t="s">
        <v>3190</v>
      </c>
      <c r="H1019" s="330" t="s">
        <v>1495</v>
      </c>
      <c r="I1019" s="175" t="s">
        <v>1496</v>
      </c>
      <c r="J1019" s="175"/>
      <c r="K1019" s="334">
        <f t="shared" si="16"/>
        <v>29525</v>
      </c>
      <c r="L1019" s="334">
        <v>29525</v>
      </c>
      <c r="M1019" s="334"/>
      <c r="N1019" s="334">
        <v>18407</v>
      </c>
      <c r="O1019" s="232"/>
      <c r="P1019" s="232"/>
      <c r="Q1019" s="232"/>
      <c r="R1019" s="232"/>
      <c r="S1019" s="232"/>
      <c r="T1019" s="232"/>
    </row>
    <row r="1020" spans="1:20">
      <c r="A1020" s="176">
        <v>405</v>
      </c>
      <c r="B1020" s="175">
        <v>200</v>
      </c>
      <c r="C1020" s="175">
        <v>0</v>
      </c>
      <c r="D1020" s="175">
        <v>0</v>
      </c>
      <c r="E1020" s="175">
        <v>0</v>
      </c>
      <c r="F1020" s="175">
        <v>0</v>
      </c>
      <c r="G1020" s="330" t="s">
        <v>3191</v>
      </c>
      <c r="H1020" s="330" t="s">
        <v>1497</v>
      </c>
      <c r="I1020" s="175" t="s">
        <v>1498</v>
      </c>
      <c r="J1020" s="175"/>
      <c r="K1020" s="334">
        <f t="shared" si="16"/>
        <v>0</v>
      </c>
      <c r="L1020" s="334">
        <v>0</v>
      </c>
      <c r="M1020" s="334"/>
      <c r="N1020" s="334"/>
      <c r="O1020" s="232"/>
      <c r="P1020" s="232"/>
      <c r="Q1020" s="232"/>
      <c r="R1020" s="232"/>
      <c r="S1020" s="232"/>
      <c r="T1020" s="232"/>
    </row>
    <row r="1021" spans="1:20" ht="26.25" thickBot="1">
      <c r="A1021" s="407">
        <v>410</v>
      </c>
      <c r="B1021" s="408">
        <v>0</v>
      </c>
      <c r="C1021" s="408">
        <v>0</v>
      </c>
      <c r="D1021" s="408">
        <v>0</v>
      </c>
      <c r="E1021" s="408">
        <v>0</v>
      </c>
      <c r="F1021" s="408">
        <v>0</v>
      </c>
      <c r="G1021" s="351" t="s">
        <v>3192</v>
      </c>
      <c r="H1021" s="351" t="s">
        <v>1499</v>
      </c>
      <c r="I1021" s="329" t="s">
        <v>1500</v>
      </c>
      <c r="J1021" s="329"/>
      <c r="K1021" s="352">
        <f t="shared" si="16"/>
        <v>0</v>
      </c>
      <c r="L1021" s="352">
        <v>0</v>
      </c>
      <c r="M1021" s="352"/>
      <c r="N1021" s="352"/>
      <c r="O1021" s="232"/>
      <c r="P1021" s="232"/>
      <c r="Q1021" s="232"/>
      <c r="R1021" s="232"/>
      <c r="S1021" s="232"/>
      <c r="T1021" s="232"/>
    </row>
    <row r="1022" spans="1:20" ht="15">
      <c r="G1022" s="53"/>
      <c r="H1022" s="53" t="s">
        <v>533</v>
      </c>
      <c r="K1022" s="209">
        <f t="shared" ref="K1022:N1022" si="17">SUM(K6:K1021)</f>
        <v>99351507.023636401</v>
      </c>
      <c r="L1022" s="209">
        <f t="shared" si="17"/>
        <v>99351507.023636401</v>
      </c>
      <c r="M1022" s="209"/>
      <c r="N1022" s="209">
        <f t="shared" si="17"/>
        <v>96118159.160000041</v>
      </c>
    </row>
    <row r="1023" spans="1:20" ht="15">
      <c r="A1023" s="50"/>
      <c r="B1023" s="50"/>
      <c r="C1023" s="50"/>
      <c r="D1023" s="50"/>
      <c r="E1023" s="50"/>
      <c r="F1023" s="50"/>
      <c r="G1023" s="53"/>
      <c r="H1023" s="53"/>
      <c r="I1023" s="54"/>
      <c r="J1023" s="54"/>
      <c r="K1023" s="209"/>
      <c r="L1023" s="209"/>
      <c r="M1023" s="209"/>
      <c r="N1023" s="209"/>
    </row>
    <row r="1024" spans="1:20" ht="15">
      <c r="G1024" s="53"/>
      <c r="H1024" s="53"/>
      <c r="K1024" s="209"/>
      <c r="L1024" s="209"/>
      <c r="M1024" s="209"/>
      <c r="N1024" s="209"/>
    </row>
    <row r="1025" spans="7:14" ht="15">
      <c r="G1025" s="53"/>
      <c r="H1025" s="53"/>
      <c r="K1025" s="209"/>
      <c r="L1025" s="209"/>
      <c r="M1025" s="209"/>
      <c r="N1025" s="209"/>
    </row>
    <row r="1026" spans="7:14" ht="15">
      <c r="G1026" s="53"/>
      <c r="H1026" s="53"/>
      <c r="K1026" s="209"/>
      <c r="L1026" s="209"/>
      <c r="M1026" s="209"/>
      <c r="N1026" s="209"/>
    </row>
    <row r="1027" spans="7:14" ht="15">
      <c r="G1027" s="53"/>
      <c r="H1027" s="53"/>
      <c r="K1027" s="209"/>
      <c r="L1027" s="209"/>
      <c r="M1027" s="209"/>
      <c r="N1027" s="209"/>
    </row>
    <row r="1028" spans="7:14" ht="15">
      <c r="G1028" s="53"/>
      <c r="H1028" s="53"/>
      <c r="K1028" s="209"/>
      <c r="L1028" s="209"/>
      <c r="M1028" s="209"/>
      <c r="N1028" s="209"/>
    </row>
    <row r="1029" spans="7:14" ht="15">
      <c r="G1029" s="53"/>
      <c r="H1029" s="53"/>
      <c r="K1029" s="209"/>
      <c r="L1029" s="209"/>
      <c r="M1029" s="209"/>
      <c r="N1029" s="209"/>
    </row>
    <row r="1030" spans="7:14" ht="15">
      <c r="G1030" s="53"/>
      <c r="H1030" s="53"/>
      <c r="K1030" s="209"/>
      <c r="L1030" s="209"/>
      <c r="M1030" s="209"/>
      <c r="N1030" s="209"/>
    </row>
    <row r="1031" spans="7:14" ht="15">
      <c r="G1031" s="53"/>
      <c r="H1031" s="53"/>
      <c r="K1031" s="209"/>
      <c r="L1031" s="209"/>
      <c r="M1031" s="209"/>
      <c r="N1031" s="209"/>
    </row>
    <row r="1032" spans="7:14" ht="15">
      <c r="G1032" s="53"/>
      <c r="H1032" s="53"/>
      <c r="K1032" s="209"/>
      <c r="L1032" s="209"/>
      <c r="M1032" s="209"/>
      <c r="N1032" s="209"/>
    </row>
    <row r="1033" spans="7:14" ht="15">
      <c r="G1033" s="53"/>
      <c r="H1033" s="53"/>
      <c r="K1033" s="209"/>
      <c r="L1033" s="209"/>
      <c r="M1033" s="209"/>
      <c r="N1033" s="209"/>
    </row>
    <row r="1034" spans="7:14" ht="15">
      <c r="G1034" s="53"/>
      <c r="H1034" s="53"/>
      <c r="K1034" s="209"/>
      <c r="L1034" s="209"/>
      <c r="M1034" s="209"/>
      <c r="N1034" s="209"/>
    </row>
    <row r="1035" spans="7:14" ht="15">
      <c r="G1035" s="53"/>
      <c r="H1035" s="53"/>
      <c r="K1035" s="209"/>
      <c r="L1035" s="209"/>
      <c r="M1035" s="209"/>
      <c r="N1035" s="209"/>
    </row>
    <row r="1036" spans="7:14" ht="15">
      <c r="G1036" s="53"/>
      <c r="H1036" s="53"/>
      <c r="K1036" s="209"/>
      <c r="L1036" s="209"/>
      <c r="M1036" s="209"/>
      <c r="N1036" s="209"/>
    </row>
    <row r="1037" spans="7:14" ht="15">
      <c r="G1037" s="53"/>
      <c r="H1037" s="53"/>
      <c r="K1037" s="209"/>
      <c r="L1037" s="209"/>
      <c r="M1037" s="209"/>
      <c r="N1037" s="209"/>
    </row>
    <row r="1038" spans="7:14" ht="15">
      <c r="G1038" s="53"/>
      <c r="H1038" s="53"/>
      <c r="K1038" s="209"/>
      <c r="L1038" s="209"/>
      <c r="M1038" s="209"/>
      <c r="N1038" s="209"/>
    </row>
    <row r="1039" spans="7:14" ht="15">
      <c r="G1039" s="53"/>
      <c r="H1039" s="53"/>
      <c r="K1039" s="209"/>
      <c r="L1039" s="209"/>
      <c r="M1039" s="209"/>
      <c r="N1039" s="209"/>
    </row>
    <row r="1040" spans="7:14" ht="15">
      <c r="G1040" s="53"/>
      <c r="H1040" s="53"/>
      <c r="K1040" s="209"/>
      <c r="L1040" s="209"/>
      <c r="M1040" s="209"/>
      <c r="N1040" s="209"/>
    </row>
    <row r="1041" spans="7:14" ht="15">
      <c r="G1041" s="53"/>
      <c r="H1041" s="53"/>
      <c r="K1041" s="209"/>
      <c r="L1041" s="209"/>
      <c r="M1041" s="209"/>
      <c r="N1041" s="209"/>
    </row>
    <row r="1042" spans="7:14" ht="15">
      <c r="G1042" s="53"/>
      <c r="H1042" s="53"/>
      <c r="K1042" s="209"/>
      <c r="L1042" s="209"/>
      <c r="M1042" s="209"/>
      <c r="N1042" s="209"/>
    </row>
    <row r="1043" spans="7:14" ht="15">
      <c r="G1043" s="53"/>
      <c r="H1043" s="53"/>
      <c r="K1043" s="209"/>
      <c r="L1043" s="209"/>
      <c r="M1043" s="209"/>
      <c r="N1043" s="209"/>
    </row>
    <row r="1044" spans="7:14" ht="15">
      <c r="G1044" s="53"/>
      <c r="H1044" s="53"/>
      <c r="K1044" s="209"/>
      <c r="L1044" s="209"/>
      <c r="M1044" s="209"/>
      <c r="N1044" s="209"/>
    </row>
    <row r="1045" spans="7:14" ht="15">
      <c r="G1045" s="53"/>
      <c r="H1045" s="53"/>
      <c r="K1045" s="209"/>
      <c r="L1045" s="209"/>
      <c r="M1045" s="209"/>
      <c r="N1045" s="209"/>
    </row>
    <row r="1046" spans="7:14" ht="15">
      <c r="G1046" s="53"/>
      <c r="H1046" s="53"/>
      <c r="K1046" s="209"/>
      <c r="L1046" s="209"/>
      <c r="M1046" s="209"/>
      <c r="N1046" s="209"/>
    </row>
    <row r="1047" spans="7:14" ht="15">
      <c r="G1047" s="53"/>
      <c r="H1047" s="53"/>
      <c r="K1047" s="209"/>
      <c r="L1047" s="209"/>
      <c r="M1047" s="209"/>
      <c r="N1047" s="209"/>
    </row>
    <row r="1048" spans="7:14" ht="15">
      <c r="G1048" s="53"/>
      <c r="H1048" s="53"/>
      <c r="K1048" s="209"/>
      <c r="L1048" s="209"/>
      <c r="M1048" s="209"/>
      <c r="N1048" s="209"/>
    </row>
    <row r="1049" spans="7:14" ht="15">
      <c r="G1049" s="53"/>
      <c r="H1049" s="53"/>
      <c r="K1049" s="209"/>
      <c r="L1049" s="209"/>
      <c r="M1049" s="209"/>
      <c r="N1049" s="209"/>
    </row>
    <row r="1050" spans="7:14" ht="15">
      <c r="G1050" s="53"/>
      <c r="H1050" s="53"/>
      <c r="K1050" s="209"/>
      <c r="L1050" s="209"/>
      <c r="M1050" s="209"/>
      <c r="N1050" s="209"/>
    </row>
    <row r="1051" spans="7:14" ht="15">
      <c r="G1051" s="53"/>
      <c r="H1051" s="53"/>
      <c r="K1051" s="209"/>
      <c r="L1051" s="209"/>
      <c r="M1051" s="209"/>
      <c r="N1051" s="209"/>
    </row>
  </sheetData>
  <autoFilter ref="A2:N1047" xr:uid="{00000000-0009-0000-0000-000002000000}"/>
  <mergeCells count="7">
    <mergeCell ref="M1:M2"/>
    <mergeCell ref="N1:N2"/>
    <mergeCell ref="G1:G2"/>
    <mergeCell ref="H1:H2"/>
    <mergeCell ref="I1:I2"/>
    <mergeCell ref="K1:K2"/>
    <mergeCell ref="L1:L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Header>&amp;LASUFC Conto Economico Preventivo 2025 - Gestione Sanità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I587"/>
  <sheetViews>
    <sheetView zoomScale="90" zoomScaleNormal="90" zoomScaleSheetLayoutView="100" workbookViewId="0">
      <selection activeCell="M1" sqref="M1:M2"/>
    </sheetView>
  </sheetViews>
  <sheetFormatPr defaultRowHeight="12.75"/>
  <cols>
    <col min="1" max="1" width="7.140625" style="399" bestFit="1" customWidth="1"/>
    <col min="2" max="2" width="7.42578125" style="399" bestFit="1" customWidth="1"/>
    <col min="3" max="3" width="7.85546875" style="399" bestFit="1" customWidth="1"/>
    <col min="4" max="4" width="8.28515625" style="399" bestFit="1" customWidth="1"/>
    <col min="5" max="5" width="7.7109375" style="399" bestFit="1" customWidth="1"/>
    <col min="6" max="6" width="8.28515625" style="399" bestFit="1" customWidth="1"/>
    <col min="7" max="7" width="16.28515625" style="247" bestFit="1" customWidth="1"/>
    <col min="8" max="8" width="48.28515625" customWidth="1"/>
    <col min="9" max="9" width="14.5703125" customWidth="1"/>
    <col min="10" max="10" width="11" customWidth="1"/>
    <col min="11" max="14" width="18.7109375" customWidth="1"/>
    <col min="16" max="16" width="20.140625" customWidth="1"/>
    <col min="17" max="17" width="19.140625" customWidth="1"/>
  </cols>
  <sheetData>
    <row r="1" spans="1:17" ht="30" customHeight="1" thickBot="1">
      <c r="A1" s="231" t="s">
        <v>119</v>
      </c>
      <c r="B1" s="234"/>
      <c r="C1" s="234"/>
      <c r="D1" s="234"/>
      <c r="E1" s="234"/>
      <c r="F1" s="235"/>
      <c r="G1" s="1002" t="s">
        <v>3454</v>
      </c>
      <c r="H1" s="1003" t="s">
        <v>120</v>
      </c>
      <c r="I1" s="1002" t="s">
        <v>121</v>
      </c>
      <c r="J1" s="1002" t="s">
        <v>2219</v>
      </c>
      <c r="K1" s="1005" t="s">
        <v>3521</v>
      </c>
      <c r="L1" s="998" t="s">
        <v>3522</v>
      </c>
      <c r="M1" s="998" t="s">
        <v>3523</v>
      </c>
      <c r="N1" s="1000" t="s">
        <v>3524</v>
      </c>
    </row>
    <row r="2" spans="1:17" ht="24" customHeight="1" thickBot="1">
      <c r="A2" s="210" t="s">
        <v>122</v>
      </c>
      <c r="B2" s="210" t="s">
        <v>123</v>
      </c>
      <c r="C2" s="210" t="s">
        <v>124</v>
      </c>
      <c r="D2" s="210" t="s">
        <v>125</v>
      </c>
      <c r="E2" s="210" t="s">
        <v>126</v>
      </c>
      <c r="F2" s="210" t="s">
        <v>127</v>
      </c>
      <c r="G2" s="1002"/>
      <c r="H2" s="1004"/>
      <c r="I2" s="1002"/>
      <c r="J2" s="1002"/>
      <c r="K2" s="1006"/>
      <c r="L2" s="999"/>
      <c r="M2" s="999"/>
      <c r="N2" s="1001"/>
    </row>
    <row r="3" spans="1:17">
      <c r="A3" s="236">
        <v>600</v>
      </c>
      <c r="B3" s="237">
        <v>0</v>
      </c>
      <c r="C3" s="237">
        <v>0</v>
      </c>
      <c r="D3" s="237">
        <v>0</v>
      </c>
      <c r="E3" s="237">
        <v>0</v>
      </c>
      <c r="F3" s="237">
        <v>0</v>
      </c>
      <c r="G3" s="359">
        <v>600</v>
      </c>
      <c r="H3" s="233" t="s">
        <v>128</v>
      </c>
      <c r="I3" s="39" t="s">
        <v>1513</v>
      </c>
      <c r="J3" s="39"/>
      <c r="K3" s="201"/>
      <c r="L3" s="201"/>
      <c r="M3" s="201"/>
      <c r="N3" s="201"/>
    </row>
    <row r="4" spans="1:17" ht="25.5">
      <c r="A4" s="392">
        <v>600</v>
      </c>
      <c r="B4" s="239">
        <v>100</v>
      </c>
      <c r="C4" s="239">
        <v>0</v>
      </c>
      <c r="D4" s="239">
        <v>0</v>
      </c>
      <c r="E4" s="239">
        <v>0</v>
      </c>
      <c r="F4" s="239">
        <v>0</v>
      </c>
      <c r="G4" s="360" t="s">
        <v>3195</v>
      </c>
      <c r="H4" s="40" t="s">
        <v>129</v>
      </c>
      <c r="I4" s="41" t="s">
        <v>1515</v>
      </c>
      <c r="J4" s="41"/>
      <c r="K4" s="413"/>
      <c r="L4" s="413"/>
      <c r="M4" s="413"/>
      <c r="N4" s="413"/>
    </row>
    <row r="5" spans="1:17" ht="25.5">
      <c r="A5" s="392">
        <v>600</v>
      </c>
      <c r="B5" s="239">
        <v>100</v>
      </c>
      <c r="C5" s="239">
        <v>100</v>
      </c>
      <c r="D5" s="239">
        <v>0</v>
      </c>
      <c r="E5" s="239">
        <v>0</v>
      </c>
      <c r="F5" s="239">
        <v>0</v>
      </c>
      <c r="G5" s="360" t="s">
        <v>3196</v>
      </c>
      <c r="H5" s="40" t="s">
        <v>130</v>
      </c>
      <c r="I5" s="41" t="s">
        <v>131</v>
      </c>
      <c r="J5" s="41"/>
      <c r="K5" s="413"/>
      <c r="L5" s="413"/>
      <c r="M5" s="413"/>
      <c r="N5" s="413"/>
    </row>
    <row r="6" spans="1:17">
      <c r="A6" s="392">
        <v>600</v>
      </c>
      <c r="B6" s="239">
        <v>100</v>
      </c>
      <c r="C6" s="239">
        <v>100</v>
      </c>
      <c r="D6" s="238">
        <v>100</v>
      </c>
      <c r="E6" s="238">
        <v>0</v>
      </c>
      <c r="F6" s="238">
        <v>0</v>
      </c>
      <c r="G6" s="361" t="s">
        <v>3197</v>
      </c>
      <c r="H6" s="42" t="s">
        <v>2102</v>
      </c>
      <c r="I6" s="41" t="s">
        <v>132</v>
      </c>
      <c r="J6" s="41"/>
      <c r="K6" s="202">
        <f>+L6+M6</f>
        <v>17232277.010000002</v>
      </c>
      <c r="L6" s="202">
        <v>17232277.010000002</v>
      </c>
      <c r="M6" s="202"/>
      <c r="N6" s="202">
        <v>14488784.33</v>
      </c>
      <c r="P6" s="424"/>
      <c r="Q6" s="424"/>
    </row>
    <row r="7" spans="1:17">
      <c r="A7" s="392">
        <v>600</v>
      </c>
      <c r="B7" s="239">
        <v>100</v>
      </c>
      <c r="C7" s="239">
        <v>100</v>
      </c>
      <c r="D7" s="238">
        <v>200</v>
      </c>
      <c r="E7" s="238">
        <v>0</v>
      </c>
      <c r="F7" s="238">
        <v>0</v>
      </c>
      <c r="G7" s="361" t="s">
        <v>3198</v>
      </c>
      <c r="H7" s="42" t="s">
        <v>133</v>
      </c>
      <c r="I7" s="41" t="s">
        <v>134</v>
      </c>
      <c r="J7" s="41"/>
      <c r="K7" s="202">
        <f t="shared" ref="K7:K70" si="0">+L7+M7</f>
        <v>5531254.5599999996</v>
      </c>
      <c r="L7" s="202">
        <v>5531254.5599999996</v>
      </c>
      <c r="M7" s="202"/>
      <c r="N7" s="202">
        <v>5171055.4000000004</v>
      </c>
      <c r="P7" s="424"/>
      <c r="Q7" s="424"/>
    </row>
    <row r="8" spans="1:17">
      <c r="A8" s="392">
        <v>600</v>
      </c>
      <c r="B8" s="239">
        <v>100</v>
      </c>
      <c r="C8" s="239">
        <v>100</v>
      </c>
      <c r="D8" s="238">
        <v>300</v>
      </c>
      <c r="E8" s="238">
        <v>0</v>
      </c>
      <c r="F8" s="238">
        <v>0</v>
      </c>
      <c r="G8" s="361" t="s">
        <v>3199</v>
      </c>
      <c r="H8" s="42" t="s">
        <v>2103</v>
      </c>
      <c r="I8" s="41" t="s">
        <v>135</v>
      </c>
      <c r="J8" s="41"/>
      <c r="K8" s="414"/>
      <c r="L8" s="414">
        <v>0</v>
      </c>
      <c r="M8" s="414"/>
      <c r="N8" s="414">
        <v>0</v>
      </c>
      <c r="P8" s="424"/>
      <c r="Q8" s="424"/>
    </row>
    <row r="9" spans="1:17">
      <c r="A9" s="392">
        <v>600</v>
      </c>
      <c r="B9" s="239">
        <v>100</v>
      </c>
      <c r="C9" s="239">
        <v>100</v>
      </c>
      <c r="D9" s="238">
        <v>300</v>
      </c>
      <c r="E9" s="238">
        <v>10</v>
      </c>
      <c r="F9" s="238">
        <v>0</v>
      </c>
      <c r="G9" s="361" t="s">
        <v>3200</v>
      </c>
      <c r="H9" s="42" t="s">
        <v>136</v>
      </c>
      <c r="I9" s="41" t="s">
        <v>137</v>
      </c>
      <c r="J9" s="41"/>
      <c r="K9" s="202">
        <f t="shared" si="0"/>
        <v>2328685</v>
      </c>
      <c r="L9" s="202">
        <v>2328685</v>
      </c>
      <c r="M9" s="202"/>
      <c r="N9" s="202">
        <v>2328685</v>
      </c>
      <c r="P9" s="424"/>
      <c r="Q9" s="424"/>
    </row>
    <row r="10" spans="1:17">
      <c r="A10" s="392">
        <v>600</v>
      </c>
      <c r="B10" s="239">
        <v>100</v>
      </c>
      <c r="C10" s="239">
        <v>100</v>
      </c>
      <c r="D10" s="238">
        <v>300</v>
      </c>
      <c r="E10" s="238">
        <v>20</v>
      </c>
      <c r="F10" s="238">
        <v>0</v>
      </c>
      <c r="G10" s="361" t="s">
        <v>3201</v>
      </c>
      <c r="H10" s="42" t="s">
        <v>138</v>
      </c>
      <c r="I10" s="41" t="s">
        <v>139</v>
      </c>
      <c r="J10" s="41"/>
      <c r="K10" s="202">
        <f t="shared" si="0"/>
        <v>5308179</v>
      </c>
      <c r="L10" s="202">
        <v>5308179</v>
      </c>
      <c r="M10" s="202"/>
      <c r="N10" s="202">
        <v>5086113</v>
      </c>
      <c r="P10" s="424"/>
      <c r="Q10" s="424"/>
    </row>
    <row r="11" spans="1:17" ht="25.5">
      <c r="A11" s="392">
        <v>600</v>
      </c>
      <c r="B11" s="239">
        <v>100</v>
      </c>
      <c r="C11" s="239">
        <v>100</v>
      </c>
      <c r="D11" s="238">
        <v>400</v>
      </c>
      <c r="E11" s="238">
        <v>0</v>
      </c>
      <c r="F11" s="238">
        <v>0</v>
      </c>
      <c r="G11" s="361" t="s">
        <v>3202</v>
      </c>
      <c r="H11" s="42" t="s">
        <v>140</v>
      </c>
      <c r="I11" s="41" t="s">
        <v>141</v>
      </c>
      <c r="J11" s="41"/>
      <c r="K11" s="202">
        <f t="shared" si="0"/>
        <v>0</v>
      </c>
      <c r="L11" s="202">
        <v>0</v>
      </c>
      <c r="M11" s="202"/>
      <c r="N11" s="202">
        <v>0</v>
      </c>
      <c r="P11" s="424"/>
      <c r="Q11" s="424"/>
    </row>
    <row r="12" spans="1:17" ht="25.5">
      <c r="A12" s="392">
        <v>600</v>
      </c>
      <c r="B12" s="239">
        <v>100</v>
      </c>
      <c r="C12" s="239">
        <v>200</v>
      </c>
      <c r="D12" s="239">
        <v>0</v>
      </c>
      <c r="E12" s="239">
        <v>0</v>
      </c>
      <c r="F12" s="239">
        <v>0</v>
      </c>
      <c r="G12" s="360" t="s">
        <v>3203</v>
      </c>
      <c r="H12" s="40" t="s">
        <v>142</v>
      </c>
      <c r="I12" s="41" t="s">
        <v>143</v>
      </c>
      <c r="J12" s="41"/>
      <c r="K12" s="414"/>
      <c r="L12" s="414">
        <v>0</v>
      </c>
      <c r="M12" s="414"/>
      <c r="N12" s="414">
        <v>0</v>
      </c>
      <c r="P12" s="424"/>
      <c r="Q12" s="424"/>
    </row>
    <row r="13" spans="1:17">
      <c r="A13" s="392">
        <v>600</v>
      </c>
      <c r="B13" s="239">
        <v>100</v>
      </c>
      <c r="C13" s="239">
        <v>200</v>
      </c>
      <c r="D13" s="238">
        <v>300</v>
      </c>
      <c r="E13" s="238">
        <v>0</v>
      </c>
      <c r="F13" s="238">
        <v>0</v>
      </c>
      <c r="G13" s="361" t="s">
        <v>3204</v>
      </c>
      <c r="H13" s="42" t="s">
        <v>144</v>
      </c>
      <c r="I13" s="44"/>
      <c r="J13" s="44"/>
      <c r="K13" s="202">
        <f t="shared" si="0"/>
        <v>0</v>
      </c>
      <c r="L13" s="202">
        <v>0</v>
      </c>
      <c r="M13" s="202"/>
      <c r="N13" s="202">
        <v>0</v>
      </c>
      <c r="P13" s="424"/>
      <c r="Q13" s="424"/>
    </row>
    <row r="14" spans="1:17">
      <c r="A14" s="392">
        <v>600</v>
      </c>
      <c r="B14" s="239">
        <v>200</v>
      </c>
      <c r="C14" s="239">
        <v>0</v>
      </c>
      <c r="D14" s="239">
        <v>0</v>
      </c>
      <c r="E14" s="239">
        <v>0</v>
      </c>
      <c r="F14" s="239">
        <v>0</v>
      </c>
      <c r="G14" s="360" t="s">
        <v>3205</v>
      </c>
      <c r="H14" s="40" t="s">
        <v>145</v>
      </c>
      <c r="I14" s="41" t="s">
        <v>146</v>
      </c>
      <c r="J14" s="41"/>
      <c r="K14" s="414"/>
      <c r="L14" s="414">
        <v>0</v>
      </c>
      <c r="M14" s="414"/>
      <c r="N14" s="414">
        <v>0</v>
      </c>
      <c r="P14" s="424"/>
      <c r="Q14" s="424"/>
    </row>
    <row r="15" spans="1:17">
      <c r="A15" s="392">
        <v>600</v>
      </c>
      <c r="B15" s="239">
        <v>200</v>
      </c>
      <c r="C15" s="239">
        <v>100</v>
      </c>
      <c r="D15" s="239">
        <v>0</v>
      </c>
      <c r="E15" s="239">
        <v>0</v>
      </c>
      <c r="F15" s="239">
        <v>0</v>
      </c>
      <c r="G15" s="360" t="s">
        <v>3206</v>
      </c>
      <c r="H15" s="40" t="s">
        <v>147</v>
      </c>
      <c r="I15" s="41" t="s">
        <v>148</v>
      </c>
      <c r="J15" s="41"/>
      <c r="K15" s="414"/>
      <c r="L15" s="414">
        <v>0</v>
      </c>
      <c r="M15" s="414"/>
      <c r="N15" s="414">
        <v>0</v>
      </c>
      <c r="P15" s="424"/>
      <c r="Q15" s="424"/>
    </row>
    <row r="16" spans="1:17">
      <c r="A16" s="392">
        <v>600</v>
      </c>
      <c r="B16" s="239">
        <v>200</v>
      </c>
      <c r="C16" s="239">
        <v>100</v>
      </c>
      <c r="D16" s="239">
        <v>100</v>
      </c>
      <c r="E16" s="239">
        <v>0</v>
      </c>
      <c r="F16" s="239">
        <v>0</v>
      </c>
      <c r="G16" s="360" t="s">
        <v>3207</v>
      </c>
      <c r="H16" s="40" t="s">
        <v>149</v>
      </c>
      <c r="I16" s="41" t="s">
        <v>150</v>
      </c>
      <c r="J16" s="41"/>
      <c r="K16" s="414"/>
      <c r="L16" s="414">
        <v>0</v>
      </c>
      <c r="M16" s="414"/>
      <c r="N16" s="414">
        <v>0</v>
      </c>
      <c r="P16" s="424"/>
      <c r="Q16" s="424"/>
    </row>
    <row r="17" spans="1:17">
      <c r="A17" s="392">
        <v>600</v>
      </c>
      <c r="B17" s="239">
        <v>200</v>
      </c>
      <c r="C17" s="239">
        <v>100</v>
      </c>
      <c r="D17" s="239">
        <v>100</v>
      </c>
      <c r="E17" s="238">
        <v>10</v>
      </c>
      <c r="F17" s="238">
        <v>0</v>
      </c>
      <c r="G17" s="361" t="s">
        <v>3208</v>
      </c>
      <c r="H17" s="42" t="s">
        <v>151</v>
      </c>
      <c r="I17" s="44"/>
      <c r="J17" s="44"/>
      <c r="K17" s="202">
        <f t="shared" si="0"/>
        <v>0</v>
      </c>
      <c r="L17" s="202">
        <v>0</v>
      </c>
      <c r="M17" s="202"/>
      <c r="N17" s="202">
        <v>0</v>
      </c>
      <c r="P17" s="424"/>
      <c r="Q17" s="424"/>
    </row>
    <row r="18" spans="1:17">
      <c r="A18" s="392">
        <v>600</v>
      </c>
      <c r="B18" s="239">
        <v>200</v>
      </c>
      <c r="C18" s="239">
        <v>100</v>
      </c>
      <c r="D18" s="239">
        <v>100</v>
      </c>
      <c r="E18" s="238">
        <v>20</v>
      </c>
      <c r="F18" s="238">
        <v>0</v>
      </c>
      <c r="G18" s="361" t="s">
        <v>3209</v>
      </c>
      <c r="H18" s="42" t="s">
        <v>152</v>
      </c>
      <c r="I18" s="44"/>
      <c r="J18" s="44"/>
      <c r="K18" s="202">
        <f t="shared" si="0"/>
        <v>0</v>
      </c>
      <c r="L18" s="202">
        <v>0</v>
      </c>
      <c r="M18" s="202"/>
      <c r="N18" s="202">
        <v>0</v>
      </c>
      <c r="P18" s="424"/>
      <c r="Q18" s="424"/>
    </row>
    <row r="19" spans="1:17" ht="25.5">
      <c r="A19" s="392">
        <v>600</v>
      </c>
      <c r="B19" s="239">
        <v>200</v>
      </c>
      <c r="C19" s="239">
        <v>100</v>
      </c>
      <c r="D19" s="239">
        <v>100</v>
      </c>
      <c r="E19" s="238">
        <v>30</v>
      </c>
      <c r="F19" s="238">
        <v>0</v>
      </c>
      <c r="G19" s="361" t="s">
        <v>3210</v>
      </c>
      <c r="H19" s="42" t="s">
        <v>153</v>
      </c>
      <c r="I19" s="44"/>
      <c r="J19" s="44"/>
      <c r="K19" s="202">
        <f t="shared" si="0"/>
        <v>0</v>
      </c>
      <c r="L19" s="202">
        <v>0</v>
      </c>
      <c r="M19" s="202"/>
      <c r="N19" s="202">
        <v>0</v>
      </c>
      <c r="P19" s="424"/>
      <c r="Q19" s="424"/>
    </row>
    <row r="20" spans="1:17" ht="25.5">
      <c r="A20" s="392">
        <v>600</v>
      </c>
      <c r="B20" s="239">
        <v>200</v>
      </c>
      <c r="C20" s="239">
        <v>100</v>
      </c>
      <c r="D20" s="239">
        <v>100</v>
      </c>
      <c r="E20" s="238">
        <v>40</v>
      </c>
      <c r="F20" s="238">
        <v>0</v>
      </c>
      <c r="G20" s="361" t="s">
        <v>3211</v>
      </c>
      <c r="H20" s="42" t="s">
        <v>154</v>
      </c>
      <c r="I20" s="44"/>
      <c r="J20" s="44"/>
      <c r="K20" s="202">
        <f t="shared" si="0"/>
        <v>0</v>
      </c>
      <c r="L20" s="202">
        <v>0</v>
      </c>
      <c r="M20" s="202"/>
      <c r="N20" s="202">
        <v>0</v>
      </c>
      <c r="P20" s="424"/>
      <c r="Q20" s="424"/>
    </row>
    <row r="21" spans="1:17" ht="25.5">
      <c r="A21" s="392">
        <v>600</v>
      </c>
      <c r="B21" s="239">
        <v>200</v>
      </c>
      <c r="C21" s="239">
        <v>100</v>
      </c>
      <c r="D21" s="239">
        <v>100</v>
      </c>
      <c r="E21" s="238">
        <v>80</v>
      </c>
      <c r="F21" s="238">
        <v>0</v>
      </c>
      <c r="G21" s="361" t="s">
        <v>3212</v>
      </c>
      <c r="H21" s="42" t="s">
        <v>155</v>
      </c>
      <c r="I21" s="44"/>
      <c r="J21" s="44"/>
      <c r="K21" s="202">
        <f t="shared" si="0"/>
        <v>265585</v>
      </c>
      <c r="L21" s="202">
        <v>265585</v>
      </c>
      <c r="M21" s="202"/>
      <c r="N21" s="202">
        <v>9736968.7899999991</v>
      </c>
      <c r="P21" s="424"/>
      <c r="Q21" s="424"/>
    </row>
    <row r="22" spans="1:17" ht="25.5">
      <c r="A22" s="392">
        <v>600</v>
      </c>
      <c r="B22" s="239">
        <v>200</v>
      </c>
      <c r="C22" s="239">
        <v>100</v>
      </c>
      <c r="D22" s="239">
        <v>100</v>
      </c>
      <c r="E22" s="238">
        <v>90</v>
      </c>
      <c r="F22" s="238">
        <v>0</v>
      </c>
      <c r="G22" s="361" t="s">
        <v>3213</v>
      </c>
      <c r="H22" s="42" t="s">
        <v>156</v>
      </c>
      <c r="I22" s="44"/>
      <c r="J22" s="44"/>
      <c r="K22" s="202">
        <f t="shared" si="0"/>
        <v>0</v>
      </c>
      <c r="L22" s="202">
        <v>0</v>
      </c>
      <c r="M22" s="202"/>
      <c r="N22" s="202">
        <v>0</v>
      </c>
      <c r="P22" s="424"/>
      <c r="Q22" s="424"/>
    </row>
    <row r="23" spans="1:17" ht="38.25">
      <c r="A23" s="392">
        <v>600</v>
      </c>
      <c r="B23" s="239">
        <v>200</v>
      </c>
      <c r="C23" s="239">
        <v>100</v>
      </c>
      <c r="D23" s="238">
        <v>200</v>
      </c>
      <c r="E23" s="238">
        <v>0</v>
      </c>
      <c r="F23" s="238">
        <v>0</v>
      </c>
      <c r="G23" s="361" t="s">
        <v>3214</v>
      </c>
      <c r="H23" s="42" t="s">
        <v>3215</v>
      </c>
      <c r="I23" s="44" t="s">
        <v>157</v>
      </c>
      <c r="J23" s="44"/>
      <c r="K23" s="202">
        <f t="shared" si="0"/>
        <v>0</v>
      </c>
      <c r="L23" s="202">
        <v>0</v>
      </c>
      <c r="M23" s="202"/>
      <c r="N23" s="202">
        <v>0</v>
      </c>
      <c r="P23" s="424"/>
      <c r="Q23" s="424"/>
    </row>
    <row r="24" spans="1:17" ht="38.25">
      <c r="A24" s="392">
        <v>600</v>
      </c>
      <c r="B24" s="239">
        <v>200</v>
      </c>
      <c r="C24" s="239">
        <v>100</v>
      </c>
      <c r="D24" s="238">
        <v>300</v>
      </c>
      <c r="E24" s="238">
        <v>0</v>
      </c>
      <c r="F24" s="238">
        <v>0</v>
      </c>
      <c r="G24" s="361" t="s">
        <v>3216</v>
      </c>
      <c r="H24" s="42" t="s">
        <v>3217</v>
      </c>
      <c r="I24" s="44" t="s">
        <v>158</v>
      </c>
      <c r="J24" s="44"/>
      <c r="K24" s="202">
        <f t="shared" si="0"/>
        <v>430750</v>
      </c>
      <c r="L24" s="202">
        <v>430750</v>
      </c>
      <c r="M24" s="202"/>
      <c r="N24" s="202">
        <v>0</v>
      </c>
      <c r="P24" s="424"/>
      <c r="Q24" s="424"/>
    </row>
    <row r="25" spans="1:17" ht="25.5">
      <c r="A25" s="392">
        <v>600</v>
      </c>
      <c r="B25" s="239">
        <v>200</v>
      </c>
      <c r="C25" s="239">
        <v>100</v>
      </c>
      <c r="D25" s="239">
        <v>400</v>
      </c>
      <c r="E25" s="239">
        <v>0</v>
      </c>
      <c r="F25" s="239">
        <v>0</v>
      </c>
      <c r="G25" s="362" t="s">
        <v>3218</v>
      </c>
      <c r="H25" s="42" t="s">
        <v>159</v>
      </c>
      <c r="I25" s="41" t="s">
        <v>160</v>
      </c>
      <c r="J25" s="41"/>
      <c r="K25" s="202">
        <f t="shared" si="0"/>
        <v>0</v>
      </c>
      <c r="L25" s="202">
        <v>0</v>
      </c>
      <c r="M25" s="202"/>
      <c r="N25" s="202">
        <v>0</v>
      </c>
      <c r="P25" s="424"/>
      <c r="Q25" s="424"/>
    </row>
    <row r="26" spans="1:17" ht="25.5">
      <c r="A26" s="392">
        <v>600</v>
      </c>
      <c r="B26" s="239">
        <v>200</v>
      </c>
      <c r="C26" s="239">
        <v>200</v>
      </c>
      <c r="D26" s="239">
        <v>0</v>
      </c>
      <c r="E26" s="239">
        <v>0</v>
      </c>
      <c r="F26" s="239">
        <v>0</v>
      </c>
      <c r="G26" s="360" t="s">
        <v>3219</v>
      </c>
      <c r="H26" s="40" t="s">
        <v>161</v>
      </c>
      <c r="I26" s="41" t="s">
        <v>162</v>
      </c>
      <c r="J26" s="41"/>
      <c r="K26" s="414"/>
      <c r="L26" s="414">
        <v>0</v>
      </c>
      <c r="M26" s="414"/>
      <c r="N26" s="414">
        <v>0</v>
      </c>
      <c r="P26" s="424"/>
      <c r="Q26" s="424"/>
    </row>
    <row r="27" spans="1:17" ht="25.5">
      <c r="A27" s="392">
        <v>600</v>
      </c>
      <c r="B27" s="239">
        <v>200</v>
      </c>
      <c r="C27" s="239">
        <v>200</v>
      </c>
      <c r="D27" s="239">
        <v>100</v>
      </c>
      <c r="E27" s="239">
        <v>0</v>
      </c>
      <c r="F27" s="239">
        <v>0</v>
      </c>
      <c r="G27" s="362" t="s">
        <v>3220</v>
      </c>
      <c r="H27" s="42" t="s">
        <v>163</v>
      </c>
      <c r="I27" s="41" t="s">
        <v>164</v>
      </c>
      <c r="J27" s="41" t="s">
        <v>1530</v>
      </c>
      <c r="K27" s="202">
        <f t="shared" si="0"/>
        <v>0</v>
      </c>
      <c r="L27" s="202">
        <v>0</v>
      </c>
      <c r="M27" s="202"/>
      <c r="N27" s="202">
        <v>33578.57</v>
      </c>
      <c r="P27" s="424"/>
      <c r="Q27" s="424"/>
    </row>
    <row r="28" spans="1:17" ht="25.5">
      <c r="A28" s="392">
        <v>600</v>
      </c>
      <c r="B28" s="239">
        <v>200</v>
      </c>
      <c r="C28" s="239">
        <v>200</v>
      </c>
      <c r="D28" s="239">
        <v>200</v>
      </c>
      <c r="E28" s="239">
        <v>0</v>
      </c>
      <c r="F28" s="239">
        <v>0</v>
      </c>
      <c r="G28" s="362" t="s">
        <v>3221</v>
      </c>
      <c r="H28" s="42" t="s">
        <v>165</v>
      </c>
      <c r="I28" s="41" t="s">
        <v>166</v>
      </c>
      <c r="J28" s="41" t="s">
        <v>1530</v>
      </c>
      <c r="K28" s="202">
        <f t="shared" si="0"/>
        <v>0</v>
      </c>
      <c r="L28" s="202">
        <v>0</v>
      </c>
      <c r="M28" s="202"/>
      <c r="N28" s="202">
        <v>0</v>
      </c>
      <c r="P28" s="424"/>
      <c r="Q28" s="424"/>
    </row>
    <row r="29" spans="1:17" ht="25.5">
      <c r="A29" s="392">
        <v>600</v>
      </c>
      <c r="B29" s="239">
        <v>200</v>
      </c>
      <c r="C29" s="239">
        <v>300</v>
      </c>
      <c r="D29" s="239">
        <v>0</v>
      </c>
      <c r="E29" s="239">
        <v>0</v>
      </c>
      <c r="F29" s="239">
        <v>0</v>
      </c>
      <c r="G29" s="360" t="s">
        <v>3222</v>
      </c>
      <c r="H29" s="40" t="s">
        <v>167</v>
      </c>
      <c r="I29" s="41" t="s">
        <v>168</v>
      </c>
      <c r="J29" s="41"/>
      <c r="K29" s="414"/>
      <c r="L29" s="414">
        <v>0</v>
      </c>
      <c r="M29" s="414"/>
      <c r="N29" s="414">
        <v>0</v>
      </c>
      <c r="P29" s="424"/>
      <c r="Q29" s="424"/>
    </row>
    <row r="30" spans="1:17">
      <c r="A30" s="392">
        <v>600</v>
      </c>
      <c r="B30" s="239">
        <v>200</v>
      </c>
      <c r="C30" s="239">
        <v>300</v>
      </c>
      <c r="D30" s="239">
        <v>50</v>
      </c>
      <c r="E30" s="239">
        <v>0</v>
      </c>
      <c r="F30" s="239">
        <v>0</v>
      </c>
      <c r="G30" s="360" t="s">
        <v>3223</v>
      </c>
      <c r="H30" s="42" t="s">
        <v>169</v>
      </c>
      <c r="I30" s="172" t="s">
        <v>170</v>
      </c>
      <c r="J30" s="172"/>
      <c r="K30" s="203">
        <f t="shared" si="0"/>
        <v>758266.86</v>
      </c>
      <c r="L30" s="203">
        <v>758266.86</v>
      </c>
      <c r="M30" s="203"/>
      <c r="N30" s="203">
        <v>895214.73</v>
      </c>
      <c r="P30" s="424"/>
      <c r="Q30" s="424"/>
    </row>
    <row r="31" spans="1:17">
      <c r="A31" s="392">
        <v>600</v>
      </c>
      <c r="B31" s="239">
        <v>200</v>
      </c>
      <c r="C31" s="239">
        <v>300</v>
      </c>
      <c r="D31" s="239">
        <v>100</v>
      </c>
      <c r="E31" s="239">
        <v>0</v>
      </c>
      <c r="F31" s="239">
        <v>0</v>
      </c>
      <c r="G31" s="360" t="s">
        <v>3224</v>
      </c>
      <c r="H31" s="40" t="s">
        <v>171</v>
      </c>
      <c r="I31" s="41" t="s">
        <v>172</v>
      </c>
      <c r="J31" s="41"/>
      <c r="K31" s="414"/>
      <c r="L31" s="414">
        <v>0</v>
      </c>
      <c r="M31" s="414"/>
      <c r="N31" s="414">
        <v>0</v>
      </c>
      <c r="P31" s="424"/>
      <c r="Q31" s="424"/>
    </row>
    <row r="32" spans="1:17">
      <c r="A32" s="392">
        <v>600</v>
      </c>
      <c r="B32" s="239">
        <v>200</v>
      </c>
      <c r="C32" s="239">
        <v>300</v>
      </c>
      <c r="D32" s="239">
        <v>100</v>
      </c>
      <c r="E32" s="238">
        <v>10</v>
      </c>
      <c r="F32" s="238">
        <v>0</v>
      </c>
      <c r="G32" s="361" t="s">
        <v>3225</v>
      </c>
      <c r="H32" s="42" t="s">
        <v>173</v>
      </c>
      <c r="I32" s="44"/>
      <c r="J32" s="44"/>
      <c r="K32" s="202">
        <f t="shared" si="0"/>
        <v>0</v>
      </c>
      <c r="L32" s="202">
        <v>0</v>
      </c>
      <c r="M32" s="202"/>
      <c r="N32" s="202">
        <v>0</v>
      </c>
      <c r="P32" s="424"/>
      <c r="Q32" s="424"/>
    </row>
    <row r="33" spans="1:17">
      <c r="A33" s="392">
        <v>600</v>
      </c>
      <c r="B33" s="239">
        <v>200</v>
      </c>
      <c r="C33" s="239">
        <v>300</v>
      </c>
      <c r="D33" s="239">
        <v>100</v>
      </c>
      <c r="E33" s="238">
        <v>20</v>
      </c>
      <c r="F33" s="238">
        <v>0</v>
      </c>
      <c r="G33" s="361" t="s">
        <v>3226</v>
      </c>
      <c r="H33" s="42" t="s">
        <v>174</v>
      </c>
      <c r="I33" s="44"/>
      <c r="J33" s="44"/>
      <c r="K33" s="202">
        <f t="shared" si="0"/>
        <v>0</v>
      </c>
      <c r="L33" s="202">
        <v>0</v>
      </c>
      <c r="M33" s="202"/>
      <c r="N33" s="202">
        <v>0</v>
      </c>
      <c r="P33" s="424"/>
      <c r="Q33" s="424"/>
    </row>
    <row r="34" spans="1:17" ht="25.5">
      <c r="A34" s="392">
        <v>600</v>
      </c>
      <c r="B34" s="239">
        <v>200</v>
      </c>
      <c r="C34" s="239">
        <v>300</v>
      </c>
      <c r="D34" s="239">
        <v>100</v>
      </c>
      <c r="E34" s="238">
        <v>30</v>
      </c>
      <c r="F34" s="238">
        <v>0</v>
      </c>
      <c r="G34" s="361" t="s">
        <v>3227</v>
      </c>
      <c r="H34" s="42" t="s">
        <v>175</v>
      </c>
      <c r="I34" s="44"/>
      <c r="J34" s="44"/>
      <c r="K34" s="202">
        <f t="shared" si="0"/>
        <v>0</v>
      </c>
      <c r="L34" s="202">
        <v>0</v>
      </c>
      <c r="M34" s="202"/>
      <c r="N34" s="202">
        <v>0</v>
      </c>
      <c r="P34" s="424"/>
      <c r="Q34" s="424"/>
    </row>
    <row r="35" spans="1:17">
      <c r="A35" s="392">
        <v>600</v>
      </c>
      <c r="B35" s="239">
        <v>200</v>
      </c>
      <c r="C35" s="239">
        <v>300</v>
      </c>
      <c r="D35" s="239">
        <v>100</v>
      </c>
      <c r="E35" s="238">
        <v>40</v>
      </c>
      <c r="F35" s="238">
        <v>0</v>
      </c>
      <c r="G35" s="361" t="s">
        <v>3228</v>
      </c>
      <c r="H35" s="42" t="s">
        <v>176</v>
      </c>
      <c r="I35" s="44"/>
      <c r="J35" s="44"/>
      <c r="K35" s="202">
        <f t="shared" si="0"/>
        <v>0</v>
      </c>
      <c r="L35" s="202">
        <v>0</v>
      </c>
      <c r="M35" s="202"/>
      <c r="N35" s="202">
        <v>0</v>
      </c>
      <c r="P35" s="424"/>
      <c r="Q35" s="424"/>
    </row>
    <row r="36" spans="1:17" ht="25.5">
      <c r="A36" s="392">
        <v>600</v>
      </c>
      <c r="B36" s="239">
        <v>200</v>
      </c>
      <c r="C36" s="239">
        <v>300</v>
      </c>
      <c r="D36" s="239">
        <v>100</v>
      </c>
      <c r="E36" s="238">
        <v>80</v>
      </c>
      <c r="F36" s="240">
        <v>0</v>
      </c>
      <c r="G36" s="361" t="s">
        <v>3229</v>
      </c>
      <c r="H36" s="42" t="s">
        <v>177</v>
      </c>
      <c r="I36" s="44"/>
      <c r="J36" s="44"/>
      <c r="K36" s="202">
        <f t="shared" si="0"/>
        <v>460049.12</v>
      </c>
      <c r="L36" s="202">
        <v>460049.12</v>
      </c>
      <c r="M36" s="202"/>
      <c r="N36" s="202">
        <v>0</v>
      </c>
      <c r="P36" s="424"/>
      <c r="Q36" s="424"/>
    </row>
    <row r="37" spans="1:17" ht="38.25">
      <c r="A37" s="392">
        <v>600</v>
      </c>
      <c r="B37" s="239">
        <v>200</v>
      </c>
      <c r="C37" s="239">
        <v>300</v>
      </c>
      <c r="D37" s="239">
        <v>100</v>
      </c>
      <c r="E37" s="238">
        <v>90</v>
      </c>
      <c r="F37" s="238">
        <v>0</v>
      </c>
      <c r="G37" s="361" t="s">
        <v>3230</v>
      </c>
      <c r="H37" s="42" t="s">
        <v>178</v>
      </c>
      <c r="I37" s="44"/>
      <c r="J37" s="44"/>
      <c r="K37" s="202">
        <f t="shared" si="0"/>
        <v>17520.23</v>
      </c>
      <c r="L37" s="202">
        <v>17520.23</v>
      </c>
      <c r="M37" s="202"/>
      <c r="N37" s="202">
        <v>278594.40000000002</v>
      </c>
      <c r="P37" s="424"/>
      <c r="Q37" s="424"/>
    </row>
    <row r="38" spans="1:17" ht="25.5">
      <c r="A38" s="392">
        <v>600</v>
      </c>
      <c r="B38" s="239">
        <v>200</v>
      </c>
      <c r="C38" s="239">
        <v>300</v>
      </c>
      <c r="D38" s="239">
        <v>200</v>
      </c>
      <c r="E38" s="239">
        <v>0</v>
      </c>
      <c r="F38" s="239">
        <v>0</v>
      </c>
      <c r="G38" s="362" t="s">
        <v>3231</v>
      </c>
      <c r="H38" s="42" t="s">
        <v>179</v>
      </c>
      <c r="I38" s="41" t="s">
        <v>180</v>
      </c>
      <c r="J38" s="41"/>
      <c r="K38" s="202">
        <f t="shared" si="0"/>
        <v>0</v>
      </c>
      <c r="L38" s="202">
        <v>0</v>
      </c>
      <c r="M38" s="202"/>
      <c r="N38" s="202">
        <v>0</v>
      </c>
      <c r="P38" s="424"/>
      <c r="Q38" s="424"/>
    </row>
    <row r="39" spans="1:17" ht="25.5">
      <c r="A39" s="392">
        <v>600</v>
      </c>
      <c r="B39" s="239">
        <v>200</v>
      </c>
      <c r="C39" s="239">
        <v>300</v>
      </c>
      <c r="D39" s="239">
        <v>300</v>
      </c>
      <c r="E39" s="239">
        <v>0</v>
      </c>
      <c r="F39" s="239">
        <v>0</v>
      </c>
      <c r="G39" s="362" t="s">
        <v>3232</v>
      </c>
      <c r="H39" s="42" t="s">
        <v>181</v>
      </c>
      <c r="I39" s="41" t="s">
        <v>182</v>
      </c>
      <c r="J39" s="41"/>
      <c r="K39" s="202">
        <f t="shared" si="0"/>
        <v>0</v>
      </c>
      <c r="L39" s="202">
        <v>0</v>
      </c>
      <c r="M39" s="202"/>
      <c r="N39" s="202">
        <v>0</v>
      </c>
      <c r="P39" s="424"/>
      <c r="Q39" s="424"/>
    </row>
    <row r="40" spans="1:17" ht="51">
      <c r="A40" s="392">
        <v>600</v>
      </c>
      <c r="B40" s="239">
        <v>200</v>
      </c>
      <c r="C40" s="239">
        <v>300</v>
      </c>
      <c r="D40" s="239">
        <v>400</v>
      </c>
      <c r="E40" s="239">
        <v>0</v>
      </c>
      <c r="F40" s="239">
        <v>0</v>
      </c>
      <c r="G40" s="362" t="s">
        <v>3233</v>
      </c>
      <c r="H40" s="42" t="s">
        <v>183</v>
      </c>
      <c r="I40" s="41" t="s">
        <v>184</v>
      </c>
      <c r="J40" s="41"/>
      <c r="K40" s="202">
        <f t="shared" si="0"/>
        <v>0</v>
      </c>
      <c r="L40" s="202">
        <v>0</v>
      </c>
      <c r="M40" s="202"/>
      <c r="N40" s="202">
        <v>0</v>
      </c>
      <c r="P40" s="424"/>
      <c r="Q40" s="424"/>
    </row>
    <row r="41" spans="1:17">
      <c r="A41" s="392">
        <v>600</v>
      </c>
      <c r="B41" s="239">
        <v>300</v>
      </c>
      <c r="C41" s="239">
        <v>0</v>
      </c>
      <c r="D41" s="239">
        <v>0</v>
      </c>
      <c r="E41" s="239">
        <v>0</v>
      </c>
      <c r="F41" s="239">
        <v>0</v>
      </c>
      <c r="G41" s="360" t="s">
        <v>3234</v>
      </c>
      <c r="H41" s="40" t="s">
        <v>185</v>
      </c>
      <c r="I41" s="41" t="s">
        <v>186</v>
      </c>
      <c r="J41" s="41"/>
      <c r="K41" s="414"/>
      <c r="L41" s="414">
        <v>0</v>
      </c>
      <c r="M41" s="414"/>
      <c r="N41" s="414">
        <v>0</v>
      </c>
      <c r="P41" s="424"/>
      <c r="Q41" s="424"/>
    </row>
    <row r="42" spans="1:17" ht="25.5">
      <c r="A42" s="392">
        <v>600</v>
      </c>
      <c r="B42" s="239">
        <v>300</v>
      </c>
      <c r="C42" s="239">
        <v>100</v>
      </c>
      <c r="D42" s="239">
        <v>0</v>
      </c>
      <c r="E42" s="239">
        <v>0</v>
      </c>
      <c r="F42" s="239">
        <v>0</v>
      </c>
      <c r="G42" s="362" t="s">
        <v>3235</v>
      </c>
      <c r="H42" s="42" t="s">
        <v>187</v>
      </c>
      <c r="I42" s="41" t="s">
        <v>188</v>
      </c>
      <c r="J42" s="41"/>
      <c r="K42" s="202">
        <f t="shared" si="0"/>
        <v>3546081.76</v>
      </c>
      <c r="L42" s="202">
        <v>3546081.76</v>
      </c>
      <c r="M42" s="202"/>
      <c r="N42" s="202">
        <v>3759035.78</v>
      </c>
      <c r="P42" s="424"/>
      <c r="Q42" s="424"/>
    </row>
    <row r="43" spans="1:17" ht="25.5">
      <c r="A43" s="392">
        <v>600</v>
      </c>
      <c r="B43" s="239">
        <v>300</v>
      </c>
      <c r="C43" s="239">
        <v>200</v>
      </c>
      <c r="D43" s="239">
        <v>0</v>
      </c>
      <c r="E43" s="239">
        <v>0</v>
      </c>
      <c r="F43" s="239">
        <v>0</v>
      </c>
      <c r="G43" s="362" t="s">
        <v>3236</v>
      </c>
      <c r="H43" s="42" t="s">
        <v>189</v>
      </c>
      <c r="I43" s="41" t="s">
        <v>190</v>
      </c>
      <c r="J43" s="41"/>
      <c r="K43" s="202">
        <f t="shared" si="0"/>
        <v>1573674.45</v>
      </c>
      <c r="L43" s="202">
        <v>1573674.45</v>
      </c>
      <c r="M43" s="202"/>
      <c r="N43" s="202">
        <v>632912</v>
      </c>
      <c r="P43" s="424"/>
      <c r="Q43" s="424"/>
    </row>
    <row r="44" spans="1:17" ht="25.5">
      <c r="A44" s="392">
        <v>600</v>
      </c>
      <c r="B44" s="239">
        <v>300</v>
      </c>
      <c r="C44" s="239">
        <v>300</v>
      </c>
      <c r="D44" s="239">
        <v>0</v>
      </c>
      <c r="E44" s="239">
        <v>0</v>
      </c>
      <c r="F44" s="239">
        <v>0</v>
      </c>
      <c r="G44" s="360" t="s">
        <v>3237</v>
      </c>
      <c r="H44" s="40" t="s">
        <v>191</v>
      </c>
      <c r="I44" s="41" t="s">
        <v>192</v>
      </c>
      <c r="J44" s="41"/>
      <c r="K44" s="204"/>
      <c r="L44" s="204">
        <v>0</v>
      </c>
      <c r="M44" s="204"/>
      <c r="N44" s="204">
        <v>0</v>
      </c>
      <c r="P44" s="424"/>
      <c r="Q44" s="424"/>
    </row>
    <row r="45" spans="1:17">
      <c r="A45" s="392">
        <v>600</v>
      </c>
      <c r="B45" s="239">
        <v>300</v>
      </c>
      <c r="C45" s="239">
        <v>300</v>
      </c>
      <c r="D45" s="238">
        <v>100</v>
      </c>
      <c r="E45" s="238">
        <v>0</v>
      </c>
      <c r="F45" s="238">
        <v>0</v>
      </c>
      <c r="G45" s="361" t="s">
        <v>3238</v>
      </c>
      <c r="H45" s="42" t="s">
        <v>193</v>
      </c>
      <c r="I45" s="44"/>
      <c r="J45" s="44"/>
      <c r="K45" s="202">
        <f t="shared" si="0"/>
        <v>9297000</v>
      </c>
      <c r="L45" s="202">
        <v>9297000</v>
      </c>
      <c r="M45" s="202"/>
      <c r="N45" s="202">
        <v>181979</v>
      </c>
      <c r="P45" s="424"/>
      <c r="Q45" s="424"/>
    </row>
    <row r="46" spans="1:17">
      <c r="A46" s="392">
        <v>600</v>
      </c>
      <c r="B46" s="239">
        <v>300</v>
      </c>
      <c r="C46" s="239">
        <v>300</v>
      </c>
      <c r="D46" s="238">
        <v>900</v>
      </c>
      <c r="E46" s="238">
        <v>0</v>
      </c>
      <c r="F46" s="238">
        <v>0</v>
      </c>
      <c r="G46" s="361" t="s">
        <v>3239</v>
      </c>
      <c r="H46" s="42" t="s">
        <v>194</v>
      </c>
      <c r="I46" s="44"/>
      <c r="J46" s="44"/>
      <c r="K46" s="202">
        <f t="shared" si="0"/>
        <v>46898</v>
      </c>
      <c r="L46" s="202">
        <v>46898</v>
      </c>
      <c r="M46" s="202"/>
      <c r="N46" s="202">
        <v>2017476.84</v>
      </c>
      <c r="P46" s="424"/>
      <c r="Q46" s="424"/>
    </row>
    <row r="47" spans="1:17">
      <c r="A47" s="392">
        <v>600</v>
      </c>
      <c r="B47" s="239">
        <v>300</v>
      </c>
      <c r="C47" s="239">
        <v>400</v>
      </c>
      <c r="D47" s="239">
        <v>0</v>
      </c>
      <c r="E47" s="239">
        <v>0</v>
      </c>
      <c r="F47" s="239">
        <v>0</v>
      </c>
      <c r="G47" s="362" t="s">
        <v>3240</v>
      </c>
      <c r="H47" s="42" t="s">
        <v>195</v>
      </c>
      <c r="I47" s="41" t="s">
        <v>196</v>
      </c>
      <c r="J47" s="41"/>
      <c r="K47" s="202">
        <f t="shared" si="0"/>
        <v>1424724.12</v>
      </c>
      <c r="L47" s="202">
        <v>1424724.12</v>
      </c>
      <c r="M47" s="202"/>
      <c r="N47" s="202">
        <v>76057.600000000006</v>
      </c>
      <c r="P47" s="424"/>
      <c r="Q47" s="424"/>
    </row>
    <row r="48" spans="1:17">
      <c r="A48" s="392">
        <v>600</v>
      </c>
      <c r="B48" s="239">
        <v>400</v>
      </c>
      <c r="C48" s="239">
        <v>0</v>
      </c>
      <c r="D48" s="239">
        <v>0</v>
      </c>
      <c r="E48" s="239">
        <v>0</v>
      </c>
      <c r="F48" s="239">
        <v>0</v>
      </c>
      <c r="G48" s="362" t="s">
        <v>3241</v>
      </c>
      <c r="H48" s="42" t="s">
        <v>197</v>
      </c>
      <c r="I48" s="41" t="s">
        <v>198</v>
      </c>
      <c r="J48" s="41"/>
      <c r="K48" s="202">
        <f t="shared" si="0"/>
        <v>102093.1</v>
      </c>
      <c r="L48" s="202">
        <v>102093.1</v>
      </c>
      <c r="M48" s="202"/>
      <c r="N48" s="202">
        <v>33120</v>
      </c>
      <c r="P48" s="424"/>
      <c r="Q48" s="424"/>
    </row>
    <row r="49" spans="1:17" ht="25.5">
      <c r="A49" s="236">
        <v>610</v>
      </c>
      <c r="B49" s="237">
        <v>0</v>
      </c>
      <c r="C49" s="237">
        <v>0</v>
      </c>
      <c r="D49" s="237">
        <v>0</v>
      </c>
      <c r="E49" s="237">
        <v>0</v>
      </c>
      <c r="F49" s="237">
        <v>0</v>
      </c>
      <c r="G49" s="359">
        <v>610</v>
      </c>
      <c r="H49" s="38" t="s">
        <v>199</v>
      </c>
      <c r="I49" s="39" t="s">
        <v>200</v>
      </c>
      <c r="J49" s="39"/>
      <c r="K49" s="204"/>
      <c r="L49" s="204">
        <v>0</v>
      </c>
      <c r="M49" s="204"/>
      <c r="N49" s="204">
        <v>0</v>
      </c>
      <c r="P49" s="424"/>
      <c r="Q49" s="424"/>
    </row>
    <row r="50" spans="1:17" ht="38.25">
      <c r="A50" s="392">
        <v>610</v>
      </c>
      <c r="B50" s="239">
        <v>100</v>
      </c>
      <c r="C50" s="239">
        <v>0</v>
      </c>
      <c r="D50" s="239">
        <v>0</v>
      </c>
      <c r="E50" s="239">
        <v>0</v>
      </c>
      <c r="F50" s="239">
        <v>0</v>
      </c>
      <c r="G50" s="362" t="s">
        <v>3242</v>
      </c>
      <c r="H50" s="42" t="s">
        <v>201</v>
      </c>
      <c r="I50" s="41" t="s">
        <v>202</v>
      </c>
      <c r="J50" s="41"/>
      <c r="K50" s="202">
        <f t="shared" si="0"/>
        <v>-50039.92</v>
      </c>
      <c r="L50" s="202">
        <v>-50039.92</v>
      </c>
      <c r="M50" s="202"/>
      <c r="N50" s="202">
        <v>-43375.91</v>
      </c>
      <c r="P50" s="424"/>
      <c r="Q50" s="424"/>
    </row>
    <row r="51" spans="1:17" ht="25.5">
      <c r="A51" s="392">
        <v>610</v>
      </c>
      <c r="B51" s="239">
        <v>200</v>
      </c>
      <c r="C51" s="239">
        <v>0</v>
      </c>
      <c r="D51" s="239">
        <v>0</v>
      </c>
      <c r="E51" s="239">
        <v>0</v>
      </c>
      <c r="F51" s="239">
        <v>0</v>
      </c>
      <c r="G51" s="362" t="s">
        <v>3243</v>
      </c>
      <c r="H51" s="42" t="s">
        <v>203</v>
      </c>
      <c r="I51" s="41" t="s">
        <v>204</v>
      </c>
      <c r="J51" s="41"/>
      <c r="K51" s="202">
        <f t="shared" si="0"/>
        <v>-80913.25</v>
      </c>
      <c r="L51" s="202">
        <v>-80913.25</v>
      </c>
      <c r="M51" s="202"/>
      <c r="N51" s="202">
        <v>0</v>
      </c>
      <c r="P51" s="424"/>
      <c r="Q51" s="424"/>
    </row>
    <row r="52" spans="1:17" ht="25.5">
      <c r="A52" s="236">
        <v>620</v>
      </c>
      <c r="B52" s="237">
        <v>0</v>
      </c>
      <c r="C52" s="237">
        <v>0</v>
      </c>
      <c r="D52" s="237">
        <v>0</v>
      </c>
      <c r="E52" s="237">
        <v>0</v>
      </c>
      <c r="F52" s="237">
        <v>0</v>
      </c>
      <c r="G52" s="359">
        <v>620</v>
      </c>
      <c r="H52" s="38" t="s">
        <v>205</v>
      </c>
      <c r="I52" s="39" t="s">
        <v>206</v>
      </c>
      <c r="J52" s="39"/>
      <c r="K52" s="204"/>
      <c r="L52" s="204">
        <v>0</v>
      </c>
      <c r="M52" s="204"/>
      <c r="N52" s="204">
        <v>0</v>
      </c>
      <c r="P52" s="424"/>
      <c r="Q52" s="424"/>
    </row>
    <row r="53" spans="1:17" ht="38.25">
      <c r="A53" s="392">
        <v>620</v>
      </c>
      <c r="B53" s="239">
        <v>50</v>
      </c>
      <c r="C53" s="239">
        <v>0</v>
      </c>
      <c r="D53" s="239">
        <v>0</v>
      </c>
      <c r="E53" s="239">
        <v>0</v>
      </c>
      <c r="F53" s="239">
        <v>0</v>
      </c>
      <c r="G53" s="362" t="s">
        <v>3244</v>
      </c>
      <c r="H53" s="42" t="s">
        <v>207</v>
      </c>
      <c r="I53" s="154" t="s">
        <v>208</v>
      </c>
      <c r="J53" s="154"/>
      <c r="K53" s="208">
        <f t="shared" si="0"/>
        <v>0</v>
      </c>
      <c r="L53" s="208">
        <v>0</v>
      </c>
      <c r="M53" s="208"/>
      <c r="N53" s="208">
        <v>1831693</v>
      </c>
      <c r="P53" s="424"/>
      <c r="Q53" s="424"/>
    </row>
    <row r="54" spans="1:17" ht="38.25">
      <c r="A54" s="392">
        <v>620</v>
      </c>
      <c r="B54" s="239">
        <v>100</v>
      </c>
      <c r="C54" s="239">
        <v>0</v>
      </c>
      <c r="D54" s="239">
        <v>0</v>
      </c>
      <c r="E54" s="239">
        <v>0</v>
      </c>
      <c r="F54" s="239">
        <v>0</v>
      </c>
      <c r="G54" s="362" t="s">
        <v>3245</v>
      </c>
      <c r="H54" s="42" t="s">
        <v>209</v>
      </c>
      <c r="I54" s="41" t="s">
        <v>210</v>
      </c>
      <c r="J54" s="41"/>
      <c r="K54" s="202">
        <f t="shared" si="0"/>
        <v>0</v>
      </c>
      <c r="L54" s="202">
        <v>0</v>
      </c>
      <c r="M54" s="202"/>
      <c r="N54" s="202">
        <v>22412</v>
      </c>
      <c r="P54" s="424"/>
      <c r="Q54" s="424"/>
    </row>
    <row r="55" spans="1:17" ht="38.25">
      <c r="A55" s="392">
        <v>620</v>
      </c>
      <c r="B55" s="239">
        <v>200</v>
      </c>
      <c r="C55" s="239">
        <v>0</v>
      </c>
      <c r="D55" s="239">
        <v>0</v>
      </c>
      <c r="E55" s="239">
        <v>0</v>
      </c>
      <c r="F55" s="239">
        <v>0</v>
      </c>
      <c r="G55" s="362" t="s">
        <v>3246</v>
      </c>
      <c r="H55" s="42" t="s">
        <v>211</v>
      </c>
      <c r="I55" s="41" t="s">
        <v>212</v>
      </c>
      <c r="J55" s="41"/>
      <c r="K55" s="202">
        <f t="shared" si="0"/>
        <v>903452.14</v>
      </c>
      <c r="L55" s="202">
        <v>903452.14</v>
      </c>
      <c r="M55" s="202"/>
      <c r="N55" s="202">
        <v>2277048.14</v>
      </c>
      <c r="P55" s="424"/>
      <c r="Q55" s="424"/>
    </row>
    <row r="56" spans="1:17" ht="25.5">
      <c r="A56" s="392">
        <v>620</v>
      </c>
      <c r="B56" s="239">
        <v>300</v>
      </c>
      <c r="C56" s="239">
        <v>0</v>
      </c>
      <c r="D56" s="239">
        <v>0</v>
      </c>
      <c r="E56" s="239">
        <v>0</v>
      </c>
      <c r="F56" s="239">
        <v>0</v>
      </c>
      <c r="G56" s="362" t="s">
        <v>3247</v>
      </c>
      <c r="H56" s="42" t="s">
        <v>213</v>
      </c>
      <c r="I56" s="41" t="s">
        <v>214</v>
      </c>
      <c r="J56" s="41"/>
      <c r="K56" s="202">
        <f t="shared" si="0"/>
        <v>4500093.83</v>
      </c>
      <c r="L56" s="202">
        <v>4500093.83</v>
      </c>
      <c r="M56" s="202"/>
      <c r="N56" s="202">
        <v>4977779.3600000003</v>
      </c>
      <c r="P56" s="424"/>
      <c r="Q56" s="424"/>
    </row>
    <row r="57" spans="1:17" ht="25.5">
      <c r="A57" s="392">
        <v>620</v>
      </c>
      <c r="B57" s="239">
        <v>400</v>
      </c>
      <c r="C57" s="239">
        <v>0</v>
      </c>
      <c r="D57" s="239">
        <v>0</v>
      </c>
      <c r="E57" s="239">
        <v>0</v>
      </c>
      <c r="F57" s="239">
        <v>0</v>
      </c>
      <c r="G57" s="362" t="s">
        <v>3248</v>
      </c>
      <c r="H57" s="42" t="s">
        <v>215</v>
      </c>
      <c r="I57" s="41" t="s">
        <v>216</v>
      </c>
      <c r="J57" s="41"/>
      <c r="K57" s="202">
        <f t="shared" si="0"/>
        <v>2116449.65</v>
      </c>
      <c r="L57" s="202">
        <v>2116449.65</v>
      </c>
      <c r="M57" s="202"/>
      <c r="N57" s="202">
        <v>123051.8</v>
      </c>
      <c r="P57" s="424"/>
      <c r="Q57" s="424"/>
    </row>
    <row r="58" spans="1:17" ht="25.5">
      <c r="A58" s="236">
        <v>630</v>
      </c>
      <c r="B58" s="237">
        <v>0</v>
      </c>
      <c r="C58" s="237">
        <v>0</v>
      </c>
      <c r="D58" s="237">
        <v>0</v>
      </c>
      <c r="E58" s="237">
        <v>0</v>
      </c>
      <c r="F58" s="237">
        <v>0</v>
      </c>
      <c r="G58" s="359">
        <v>630</v>
      </c>
      <c r="H58" s="38" t="s">
        <v>22</v>
      </c>
      <c r="I58" s="39" t="s">
        <v>217</v>
      </c>
      <c r="J58" s="39"/>
      <c r="K58" s="204"/>
      <c r="L58" s="204">
        <v>0</v>
      </c>
      <c r="M58" s="204"/>
      <c r="N58" s="204">
        <v>0</v>
      </c>
      <c r="P58" s="424"/>
      <c r="Q58" s="424"/>
    </row>
    <row r="59" spans="1:17" ht="25.5">
      <c r="A59" s="392">
        <v>630</v>
      </c>
      <c r="B59" s="239">
        <v>100</v>
      </c>
      <c r="C59" s="239">
        <v>0</v>
      </c>
      <c r="D59" s="239">
        <v>0</v>
      </c>
      <c r="E59" s="239">
        <v>0</v>
      </c>
      <c r="F59" s="239">
        <v>0</v>
      </c>
      <c r="G59" s="360" t="s">
        <v>3249</v>
      </c>
      <c r="H59" s="40" t="s">
        <v>218</v>
      </c>
      <c r="I59" s="41" t="s">
        <v>219</v>
      </c>
      <c r="J59" s="41"/>
      <c r="K59" s="414"/>
      <c r="L59" s="414">
        <v>0</v>
      </c>
      <c r="M59" s="414"/>
      <c r="N59" s="414">
        <v>0</v>
      </c>
      <c r="P59" s="424"/>
      <c r="Q59" s="424"/>
    </row>
    <row r="60" spans="1:17" ht="38.25">
      <c r="A60" s="392">
        <v>630</v>
      </c>
      <c r="B60" s="239">
        <v>100</v>
      </c>
      <c r="C60" s="239">
        <v>100</v>
      </c>
      <c r="D60" s="239">
        <v>0</v>
      </c>
      <c r="E60" s="239">
        <v>0</v>
      </c>
      <c r="F60" s="239">
        <v>0</v>
      </c>
      <c r="G60" s="360" t="s">
        <v>3250</v>
      </c>
      <c r="H60" s="40" t="s">
        <v>220</v>
      </c>
      <c r="I60" s="41" t="s">
        <v>221</v>
      </c>
      <c r="J60" s="41" t="s">
        <v>1530</v>
      </c>
      <c r="K60" s="414"/>
      <c r="L60" s="414">
        <v>0</v>
      </c>
      <c r="M60" s="414"/>
      <c r="N60" s="414">
        <v>0</v>
      </c>
      <c r="P60" s="424"/>
      <c r="Q60" s="424"/>
    </row>
    <row r="61" spans="1:17">
      <c r="A61" s="392">
        <v>630</v>
      </c>
      <c r="B61" s="239">
        <v>100</v>
      </c>
      <c r="C61" s="239">
        <v>100</v>
      </c>
      <c r="D61" s="239">
        <v>100</v>
      </c>
      <c r="E61" s="239">
        <v>0</v>
      </c>
      <c r="F61" s="239">
        <v>0</v>
      </c>
      <c r="G61" s="360" t="s">
        <v>3251</v>
      </c>
      <c r="H61" s="40" t="s">
        <v>222</v>
      </c>
      <c r="I61" s="41" t="s">
        <v>223</v>
      </c>
      <c r="J61" s="41" t="s">
        <v>1530</v>
      </c>
      <c r="K61" s="414"/>
      <c r="L61" s="414">
        <v>0</v>
      </c>
      <c r="M61" s="414"/>
      <c r="N61" s="414">
        <v>0</v>
      </c>
      <c r="P61" s="424"/>
      <c r="Q61" s="424"/>
    </row>
    <row r="62" spans="1:17" ht="25.5">
      <c r="A62" s="392">
        <v>630</v>
      </c>
      <c r="B62" s="239">
        <v>100</v>
      </c>
      <c r="C62" s="239">
        <v>100</v>
      </c>
      <c r="D62" s="239">
        <v>100</v>
      </c>
      <c r="E62" s="239">
        <v>10</v>
      </c>
      <c r="F62" s="239">
        <v>0</v>
      </c>
      <c r="G62" s="360" t="s">
        <v>3252</v>
      </c>
      <c r="H62" s="42" t="s">
        <v>224</v>
      </c>
      <c r="I62" s="41"/>
      <c r="J62" s="41" t="s">
        <v>1530</v>
      </c>
      <c r="K62" s="205">
        <f t="shared" si="0"/>
        <v>18528085</v>
      </c>
      <c r="L62" s="205">
        <v>18528085</v>
      </c>
      <c r="M62" s="205"/>
      <c r="N62" s="205">
        <v>19374716</v>
      </c>
      <c r="P62" s="424"/>
      <c r="Q62" s="424"/>
    </row>
    <row r="63" spans="1:17" ht="25.5">
      <c r="A63" s="392">
        <v>630</v>
      </c>
      <c r="B63" s="239">
        <v>100</v>
      </c>
      <c r="C63" s="239">
        <v>100</v>
      </c>
      <c r="D63" s="239">
        <v>100</v>
      </c>
      <c r="E63" s="239">
        <v>20</v>
      </c>
      <c r="F63" s="239">
        <v>0</v>
      </c>
      <c r="G63" s="360" t="s">
        <v>3253</v>
      </c>
      <c r="H63" s="42" t="s">
        <v>225</v>
      </c>
      <c r="I63" s="41"/>
      <c r="J63" s="41" t="s">
        <v>1530</v>
      </c>
      <c r="K63" s="205">
        <f t="shared" si="0"/>
        <v>97369.13</v>
      </c>
      <c r="L63" s="205">
        <v>97369.13</v>
      </c>
      <c r="M63" s="205"/>
      <c r="N63" s="205">
        <v>129823.88</v>
      </c>
      <c r="P63" s="424"/>
      <c r="Q63" s="424"/>
    </row>
    <row r="64" spans="1:17">
      <c r="A64" s="392">
        <v>630</v>
      </c>
      <c r="B64" s="239">
        <v>100</v>
      </c>
      <c r="C64" s="239">
        <v>100</v>
      </c>
      <c r="D64" s="239">
        <v>200</v>
      </c>
      <c r="E64" s="239">
        <v>0</v>
      </c>
      <c r="F64" s="239">
        <v>0</v>
      </c>
      <c r="G64" s="360" t="s">
        <v>3254</v>
      </c>
      <c r="H64" s="40" t="s">
        <v>226</v>
      </c>
      <c r="I64" s="41" t="s">
        <v>227</v>
      </c>
      <c r="J64" s="41" t="s">
        <v>1530</v>
      </c>
      <c r="K64" s="414"/>
      <c r="L64" s="414">
        <v>0</v>
      </c>
      <c r="M64" s="414"/>
      <c r="N64" s="414">
        <v>0</v>
      </c>
      <c r="P64" s="424"/>
      <c r="Q64" s="424"/>
    </row>
    <row r="65" spans="1:17" ht="25.5">
      <c r="A65" s="392">
        <v>630</v>
      </c>
      <c r="B65" s="239">
        <v>100</v>
      </c>
      <c r="C65" s="239">
        <v>100</v>
      </c>
      <c r="D65" s="239">
        <v>200</v>
      </c>
      <c r="E65" s="238">
        <v>10</v>
      </c>
      <c r="F65" s="238">
        <v>0</v>
      </c>
      <c r="G65" s="361" t="s">
        <v>3255</v>
      </c>
      <c r="H65" s="42" t="s">
        <v>228</v>
      </c>
      <c r="I65" s="44"/>
      <c r="J65" s="44" t="s">
        <v>1530</v>
      </c>
      <c r="K65" s="202">
        <f t="shared" si="0"/>
        <v>7082810</v>
      </c>
      <c r="L65" s="202">
        <v>7082810</v>
      </c>
      <c r="M65" s="202"/>
      <c r="N65" s="202">
        <v>6435228</v>
      </c>
      <c r="P65" s="424"/>
      <c r="Q65" s="424"/>
    </row>
    <row r="66" spans="1:17" ht="25.5">
      <c r="A66" s="392">
        <v>630</v>
      </c>
      <c r="B66" s="239">
        <v>100</v>
      </c>
      <c r="C66" s="239">
        <v>100</v>
      </c>
      <c r="D66" s="239">
        <v>200</v>
      </c>
      <c r="E66" s="238">
        <v>20</v>
      </c>
      <c r="F66" s="238">
        <v>0</v>
      </c>
      <c r="G66" s="361" t="s">
        <v>3256</v>
      </c>
      <c r="H66" s="42" t="s">
        <v>229</v>
      </c>
      <c r="I66" s="44"/>
      <c r="J66" s="44" t="s">
        <v>1530</v>
      </c>
      <c r="K66" s="202">
        <f t="shared" si="0"/>
        <v>1180362.95</v>
      </c>
      <c r="L66" s="202">
        <v>1180362.95</v>
      </c>
      <c r="M66" s="202"/>
      <c r="N66" s="202">
        <v>1163920.99</v>
      </c>
      <c r="P66" s="424"/>
      <c r="Q66" s="424"/>
    </row>
    <row r="67" spans="1:17">
      <c r="A67" s="392">
        <v>630</v>
      </c>
      <c r="B67" s="239">
        <v>100</v>
      </c>
      <c r="C67" s="239">
        <v>100</v>
      </c>
      <c r="D67" s="239">
        <v>250</v>
      </c>
      <c r="E67" s="239">
        <v>0</v>
      </c>
      <c r="F67" s="239">
        <v>0</v>
      </c>
      <c r="G67" s="360" t="s">
        <v>3257</v>
      </c>
      <c r="H67" s="40" t="s">
        <v>2101</v>
      </c>
      <c r="I67" s="41" t="s">
        <v>230</v>
      </c>
      <c r="J67" s="41" t="s">
        <v>1530</v>
      </c>
      <c r="K67" s="202">
        <f t="shared" si="0"/>
        <v>0</v>
      </c>
      <c r="L67" s="202">
        <v>0</v>
      </c>
      <c r="M67" s="202"/>
      <c r="N67" s="202">
        <v>0</v>
      </c>
      <c r="P67" s="424"/>
      <c r="Q67" s="424"/>
    </row>
    <row r="68" spans="1:17" ht="25.5">
      <c r="A68" s="392">
        <v>630</v>
      </c>
      <c r="B68" s="239">
        <v>100</v>
      </c>
      <c r="C68" s="239">
        <v>100</v>
      </c>
      <c r="D68" s="239">
        <v>300</v>
      </c>
      <c r="E68" s="239">
        <v>0</v>
      </c>
      <c r="F68" s="239">
        <v>0</v>
      </c>
      <c r="G68" s="362" t="s">
        <v>3258</v>
      </c>
      <c r="H68" s="42" t="s">
        <v>231</v>
      </c>
      <c r="I68" s="41" t="s">
        <v>232</v>
      </c>
      <c r="J68" s="41" t="s">
        <v>1530</v>
      </c>
      <c r="K68" s="202">
        <f t="shared" si="0"/>
        <v>0</v>
      </c>
      <c r="L68" s="202">
        <v>0</v>
      </c>
      <c r="M68" s="202"/>
      <c r="N68" s="202">
        <v>0</v>
      </c>
      <c r="P68" s="424"/>
      <c r="Q68" s="424"/>
    </row>
    <row r="69" spans="1:17">
      <c r="A69" s="392">
        <v>630</v>
      </c>
      <c r="B69" s="239">
        <v>100</v>
      </c>
      <c r="C69" s="239">
        <v>100</v>
      </c>
      <c r="D69" s="239">
        <v>400</v>
      </c>
      <c r="E69" s="239">
        <v>0</v>
      </c>
      <c r="F69" s="239">
        <v>0</v>
      </c>
      <c r="G69" s="362" t="s">
        <v>3259</v>
      </c>
      <c r="H69" s="42" t="s">
        <v>233</v>
      </c>
      <c r="I69" s="41" t="s">
        <v>234</v>
      </c>
      <c r="J69" s="41" t="s">
        <v>1530</v>
      </c>
      <c r="K69" s="202">
        <f t="shared" si="0"/>
        <v>627019</v>
      </c>
      <c r="L69" s="202">
        <v>627019</v>
      </c>
      <c r="M69" s="202"/>
      <c r="N69" s="202">
        <v>460406</v>
      </c>
      <c r="P69" s="424"/>
      <c r="Q69" s="424"/>
    </row>
    <row r="70" spans="1:17" ht="25.5">
      <c r="A70" s="392">
        <v>630</v>
      </c>
      <c r="B70" s="239">
        <v>100</v>
      </c>
      <c r="C70" s="239">
        <v>100</v>
      </c>
      <c r="D70" s="239">
        <v>500</v>
      </c>
      <c r="E70" s="239">
        <v>0</v>
      </c>
      <c r="F70" s="239">
        <v>0</v>
      </c>
      <c r="G70" s="362" t="s">
        <v>3260</v>
      </c>
      <c r="H70" s="42" t="s">
        <v>235</v>
      </c>
      <c r="I70" s="41" t="s">
        <v>236</v>
      </c>
      <c r="J70" s="41" t="s">
        <v>1530</v>
      </c>
      <c r="K70" s="202">
        <f t="shared" si="0"/>
        <v>0</v>
      </c>
      <c r="L70" s="202">
        <v>0</v>
      </c>
      <c r="M70" s="202"/>
      <c r="N70" s="202">
        <v>0</v>
      </c>
      <c r="P70" s="424"/>
      <c r="Q70" s="424"/>
    </row>
    <row r="71" spans="1:17">
      <c r="A71" s="392">
        <v>630</v>
      </c>
      <c r="B71" s="239">
        <v>100</v>
      </c>
      <c r="C71" s="239">
        <v>100</v>
      </c>
      <c r="D71" s="239">
        <v>600</v>
      </c>
      <c r="E71" s="239">
        <v>0</v>
      </c>
      <c r="F71" s="239">
        <v>0</v>
      </c>
      <c r="G71" s="362" t="s">
        <v>3261</v>
      </c>
      <c r="H71" s="42" t="s">
        <v>237</v>
      </c>
      <c r="I71" s="41" t="s">
        <v>238</v>
      </c>
      <c r="J71" s="41" t="s">
        <v>1530</v>
      </c>
      <c r="K71" s="202">
        <f t="shared" ref="K71:K134" si="1">+L71+M71</f>
        <v>0</v>
      </c>
      <c r="L71" s="202">
        <v>0</v>
      </c>
      <c r="M71" s="202"/>
      <c r="N71" s="202">
        <v>0</v>
      </c>
      <c r="P71" s="424"/>
      <c r="Q71" s="424"/>
    </row>
    <row r="72" spans="1:17">
      <c r="A72" s="392">
        <v>630</v>
      </c>
      <c r="B72" s="239">
        <v>100</v>
      </c>
      <c r="C72" s="239">
        <v>100</v>
      </c>
      <c r="D72" s="239">
        <v>700</v>
      </c>
      <c r="E72" s="239">
        <v>0</v>
      </c>
      <c r="F72" s="239">
        <v>0</v>
      </c>
      <c r="G72" s="362" t="s">
        <v>3262</v>
      </c>
      <c r="H72" s="42" t="s">
        <v>239</v>
      </c>
      <c r="I72" s="41" t="s">
        <v>240</v>
      </c>
      <c r="J72" s="41" t="s">
        <v>1530</v>
      </c>
      <c r="K72" s="202">
        <f t="shared" si="1"/>
        <v>0</v>
      </c>
      <c r="L72" s="202">
        <v>0</v>
      </c>
      <c r="M72" s="202"/>
      <c r="N72" s="202">
        <v>0</v>
      </c>
      <c r="P72" s="424"/>
      <c r="Q72" s="424"/>
    </row>
    <row r="73" spans="1:17">
      <c r="A73" s="392">
        <v>630</v>
      </c>
      <c r="B73" s="239">
        <v>100</v>
      </c>
      <c r="C73" s="239">
        <v>100</v>
      </c>
      <c r="D73" s="239">
        <v>800</v>
      </c>
      <c r="E73" s="239">
        <v>0</v>
      </c>
      <c r="F73" s="239">
        <v>0</v>
      </c>
      <c r="G73" s="362" t="s">
        <v>3263</v>
      </c>
      <c r="H73" s="42" t="s">
        <v>241</v>
      </c>
      <c r="I73" s="41" t="s">
        <v>242</v>
      </c>
      <c r="J73" s="41" t="s">
        <v>1530</v>
      </c>
      <c r="K73" s="202">
        <f t="shared" si="1"/>
        <v>0</v>
      </c>
      <c r="L73" s="202">
        <v>0</v>
      </c>
      <c r="M73" s="202"/>
      <c r="N73" s="202">
        <v>0</v>
      </c>
      <c r="P73" s="424"/>
      <c r="Q73" s="424"/>
    </row>
    <row r="74" spans="1:17">
      <c r="A74" s="392">
        <v>630</v>
      </c>
      <c r="B74" s="239">
        <v>100</v>
      </c>
      <c r="C74" s="239">
        <v>100</v>
      </c>
      <c r="D74" s="239">
        <v>810</v>
      </c>
      <c r="E74" s="239">
        <v>0</v>
      </c>
      <c r="F74" s="239">
        <v>0</v>
      </c>
      <c r="G74" s="362" t="s">
        <v>3264</v>
      </c>
      <c r="H74" s="42" t="s">
        <v>243</v>
      </c>
      <c r="I74" s="41" t="s">
        <v>244</v>
      </c>
      <c r="J74" s="41" t="s">
        <v>1530</v>
      </c>
      <c r="K74" s="202">
        <f t="shared" si="1"/>
        <v>0</v>
      </c>
      <c r="L74" s="202">
        <v>0</v>
      </c>
      <c r="M74" s="202"/>
      <c r="N74" s="202">
        <v>0</v>
      </c>
      <c r="P74" s="424"/>
      <c r="Q74" s="424"/>
    </row>
    <row r="75" spans="1:17">
      <c r="A75" s="392">
        <v>630</v>
      </c>
      <c r="B75" s="239">
        <v>100</v>
      </c>
      <c r="C75" s="239">
        <v>100</v>
      </c>
      <c r="D75" s="239">
        <v>820</v>
      </c>
      <c r="E75" s="239">
        <v>0</v>
      </c>
      <c r="F75" s="239">
        <v>0</v>
      </c>
      <c r="G75" s="362" t="s">
        <v>3265</v>
      </c>
      <c r="H75" s="42" t="s">
        <v>245</v>
      </c>
      <c r="I75" s="41" t="s">
        <v>246</v>
      </c>
      <c r="J75" s="41" t="s">
        <v>1530</v>
      </c>
      <c r="K75" s="202">
        <f t="shared" si="1"/>
        <v>0</v>
      </c>
      <c r="L75" s="202">
        <v>0</v>
      </c>
      <c r="M75" s="202"/>
      <c r="N75" s="202">
        <v>0</v>
      </c>
      <c r="P75" s="424"/>
      <c r="Q75" s="424"/>
    </row>
    <row r="76" spans="1:17" ht="25.5">
      <c r="A76" s="392">
        <v>630</v>
      </c>
      <c r="B76" s="239">
        <v>100</v>
      </c>
      <c r="C76" s="239">
        <v>100</v>
      </c>
      <c r="D76" s="239">
        <v>830</v>
      </c>
      <c r="E76" s="239">
        <v>0</v>
      </c>
      <c r="F76" s="239">
        <v>0</v>
      </c>
      <c r="G76" s="362" t="s">
        <v>3266</v>
      </c>
      <c r="H76" s="42" t="s">
        <v>247</v>
      </c>
      <c r="I76" s="41" t="s">
        <v>248</v>
      </c>
      <c r="J76" s="41" t="s">
        <v>1530</v>
      </c>
      <c r="K76" s="202">
        <f t="shared" si="1"/>
        <v>0</v>
      </c>
      <c r="L76" s="202">
        <v>0</v>
      </c>
      <c r="M76" s="202"/>
      <c r="N76" s="202">
        <v>0</v>
      </c>
      <c r="P76" s="424"/>
      <c r="Q76" s="424"/>
    </row>
    <row r="77" spans="1:17" ht="25.5">
      <c r="A77" s="392">
        <v>630</v>
      </c>
      <c r="B77" s="239">
        <v>100</v>
      </c>
      <c r="C77" s="239">
        <v>100</v>
      </c>
      <c r="D77" s="239">
        <v>840</v>
      </c>
      <c r="E77" s="239">
        <v>0</v>
      </c>
      <c r="F77" s="239">
        <v>0</v>
      </c>
      <c r="G77" s="362" t="s">
        <v>3267</v>
      </c>
      <c r="H77" s="42" t="s">
        <v>249</v>
      </c>
      <c r="I77" s="41" t="s">
        <v>250</v>
      </c>
      <c r="J77" s="41" t="s">
        <v>1530</v>
      </c>
      <c r="K77" s="202">
        <f t="shared" si="1"/>
        <v>0</v>
      </c>
      <c r="L77" s="202">
        <v>0</v>
      </c>
      <c r="M77" s="202"/>
      <c r="N77" s="202">
        <v>0</v>
      </c>
      <c r="P77" s="424"/>
      <c r="Q77" s="424"/>
    </row>
    <row r="78" spans="1:17">
      <c r="A78" s="392">
        <v>630</v>
      </c>
      <c r="B78" s="239">
        <v>100</v>
      </c>
      <c r="C78" s="239">
        <v>100</v>
      </c>
      <c r="D78" s="239">
        <v>850</v>
      </c>
      <c r="E78" s="239">
        <v>0</v>
      </c>
      <c r="F78" s="239">
        <v>0</v>
      </c>
      <c r="G78" s="362" t="s">
        <v>3268</v>
      </c>
      <c r="H78" s="42" t="s">
        <v>251</v>
      </c>
      <c r="I78" s="41" t="s">
        <v>252</v>
      </c>
      <c r="J78" s="41" t="s">
        <v>1530</v>
      </c>
      <c r="K78" s="202">
        <f t="shared" si="1"/>
        <v>0</v>
      </c>
      <c r="L78" s="202">
        <v>0</v>
      </c>
      <c r="M78" s="202"/>
      <c r="N78" s="202">
        <v>0</v>
      </c>
      <c r="P78" s="424"/>
      <c r="Q78" s="424"/>
    </row>
    <row r="79" spans="1:17" ht="25.5">
      <c r="A79" s="392">
        <v>630</v>
      </c>
      <c r="B79" s="239">
        <v>100</v>
      </c>
      <c r="C79" s="239">
        <v>100</v>
      </c>
      <c r="D79" s="239">
        <v>900</v>
      </c>
      <c r="E79" s="239">
        <v>0</v>
      </c>
      <c r="F79" s="239">
        <v>0</v>
      </c>
      <c r="G79" s="360" t="s">
        <v>3269</v>
      </c>
      <c r="H79" s="40" t="s">
        <v>253</v>
      </c>
      <c r="I79" s="41" t="s">
        <v>254</v>
      </c>
      <c r="J79" s="41" t="s">
        <v>1530</v>
      </c>
      <c r="K79" s="414"/>
      <c r="L79" s="414">
        <v>0</v>
      </c>
      <c r="M79" s="414"/>
      <c r="N79" s="414">
        <v>0</v>
      </c>
      <c r="P79" s="424"/>
      <c r="Q79" s="424"/>
    </row>
    <row r="80" spans="1:17">
      <c r="A80" s="392">
        <v>630</v>
      </c>
      <c r="B80" s="239">
        <v>100</v>
      </c>
      <c r="C80" s="239">
        <v>100</v>
      </c>
      <c r="D80" s="239">
        <v>900</v>
      </c>
      <c r="E80" s="239">
        <v>10</v>
      </c>
      <c r="F80" s="239">
        <v>0</v>
      </c>
      <c r="G80" s="362" t="s">
        <v>3270</v>
      </c>
      <c r="H80" s="42" t="s">
        <v>255</v>
      </c>
      <c r="I80" s="41"/>
      <c r="J80" s="41" t="s">
        <v>1530</v>
      </c>
      <c r="K80" s="202">
        <f t="shared" si="1"/>
        <v>3744.65</v>
      </c>
      <c r="L80" s="202">
        <v>3744.65</v>
      </c>
      <c r="M80" s="202"/>
      <c r="N80" s="202">
        <v>10168.83</v>
      </c>
      <c r="P80" s="424"/>
      <c r="Q80" s="424"/>
    </row>
    <row r="81" spans="1:17" ht="25.5">
      <c r="A81" s="392">
        <v>630</v>
      </c>
      <c r="B81" s="239">
        <v>100</v>
      </c>
      <c r="C81" s="239">
        <v>100</v>
      </c>
      <c r="D81" s="239">
        <v>900</v>
      </c>
      <c r="E81" s="239">
        <v>90</v>
      </c>
      <c r="F81" s="239">
        <v>0</v>
      </c>
      <c r="G81" s="362" t="s">
        <v>3271</v>
      </c>
      <c r="H81" s="42" t="s">
        <v>253</v>
      </c>
      <c r="I81" s="41"/>
      <c r="J81" s="41" t="s">
        <v>1530</v>
      </c>
      <c r="K81" s="202">
        <f t="shared" si="1"/>
        <v>225572.39</v>
      </c>
      <c r="L81" s="202">
        <v>225572.39</v>
      </c>
      <c r="M81" s="202"/>
      <c r="N81" s="202">
        <v>224221.99</v>
      </c>
      <c r="P81" s="424"/>
      <c r="Q81" s="424"/>
    </row>
    <row r="82" spans="1:17" ht="38.25">
      <c r="A82" s="392">
        <v>630</v>
      </c>
      <c r="B82" s="239">
        <v>100</v>
      </c>
      <c r="C82" s="239">
        <v>200</v>
      </c>
      <c r="D82" s="239">
        <v>0</v>
      </c>
      <c r="E82" s="239">
        <v>0</v>
      </c>
      <c r="F82" s="239">
        <v>0</v>
      </c>
      <c r="G82" s="362" t="s">
        <v>3272</v>
      </c>
      <c r="H82" s="42" t="s">
        <v>256</v>
      </c>
      <c r="I82" s="41" t="s">
        <v>257</v>
      </c>
      <c r="J82" s="41"/>
      <c r="K82" s="202">
        <f t="shared" si="1"/>
        <v>0</v>
      </c>
      <c r="L82" s="202">
        <v>0</v>
      </c>
      <c r="M82" s="202"/>
      <c r="N82" s="202">
        <v>0</v>
      </c>
      <c r="P82" s="424"/>
      <c r="Q82" s="424"/>
    </row>
    <row r="83" spans="1:17" ht="25.5">
      <c r="A83" s="392">
        <v>630</v>
      </c>
      <c r="B83" s="239">
        <v>100</v>
      </c>
      <c r="C83" s="239">
        <v>300</v>
      </c>
      <c r="D83" s="239">
        <v>0</v>
      </c>
      <c r="E83" s="239">
        <v>0</v>
      </c>
      <c r="F83" s="239">
        <v>0</v>
      </c>
      <c r="G83" s="360" t="s">
        <v>3273</v>
      </c>
      <c r="H83" s="40" t="s">
        <v>258</v>
      </c>
      <c r="I83" s="41" t="s">
        <v>259</v>
      </c>
      <c r="J83" s="41"/>
      <c r="K83" s="414"/>
      <c r="L83" s="414">
        <v>0</v>
      </c>
      <c r="M83" s="414"/>
      <c r="N83" s="414">
        <v>0</v>
      </c>
      <c r="P83" s="424"/>
      <c r="Q83" s="424"/>
    </row>
    <row r="84" spans="1:17">
      <c r="A84" s="392">
        <v>630</v>
      </c>
      <c r="B84" s="239">
        <v>100</v>
      </c>
      <c r="C84" s="239">
        <v>300</v>
      </c>
      <c r="D84" s="239">
        <v>100</v>
      </c>
      <c r="E84" s="239">
        <v>0</v>
      </c>
      <c r="F84" s="239">
        <v>0</v>
      </c>
      <c r="G84" s="360" t="s">
        <v>3274</v>
      </c>
      <c r="H84" s="40" t="s">
        <v>222</v>
      </c>
      <c r="I84" s="41" t="s">
        <v>260</v>
      </c>
      <c r="J84" s="41" t="s">
        <v>1575</v>
      </c>
      <c r="K84" s="414"/>
      <c r="L84" s="414">
        <v>0</v>
      </c>
      <c r="M84" s="414"/>
      <c r="N84" s="414">
        <v>0</v>
      </c>
      <c r="P84" s="424"/>
      <c r="Q84" s="424"/>
    </row>
    <row r="85" spans="1:17" ht="25.5">
      <c r="A85" s="392">
        <v>630</v>
      </c>
      <c r="B85" s="239">
        <v>100</v>
      </c>
      <c r="C85" s="239">
        <v>300</v>
      </c>
      <c r="D85" s="239">
        <v>100</v>
      </c>
      <c r="E85" s="238">
        <v>10</v>
      </c>
      <c r="F85" s="238">
        <v>0</v>
      </c>
      <c r="G85" s="361" t="s">
        <v>3275</v>
      </c>
      <c r="H85" s="42" t="s">
        <v>261</v>
      </c>
      <c r="I85" s="44"/>
      <c r="J85" s="44" t="s">
        <v>1575</v>
      </c>
      <c r="K85" s="202">
        <f t="shared" si="1"/>
        <v>3956495</v>
      </c>
      <c r="L85" s="202">
        <v>3956495</v>
      </c>
      <c r="M85" s="202"/>
      <c r="N85" s="202">
        <v>3631354.38</v>
      </c>
      <c r="P85" s="424"/>
      <c r="Q85" s="424"/>
    </row>
    <row r="86" spans="1:17">
      <c r="A86" s="392">
        <v>630</v>
      </c>
      <c r="B86" s="239">
        <v>100</v>
      </c>
      <c r="C86" s="239">
        <v>300</v>
      </c>
      <c r="D86" s="239">
        <v>150</v>
      </c>
      <c r="E86" s="239">
        <v>0</v>
      </c>
      <c r="F86" s="239">
        <v>0</v>
      </c>
      <c r="G86" s="360" t="s">
        <v>3277</v>
      </c>
      <c r="H86" s="40" t="s">
        <v>262</v>
      </c>
      <c r="I86" s="41" t="s">
        <v>263</v>
      </c>
      <c r="J86" s="41" t="s">
        <v>1575</v>
      </c>
      <c r="K86" s="414"/>
      <c r="L86" s="414">
        <v>0</v>
      </c>
      <c r="M86" s="414"/>
      <c r="N86" s="414">
        <v>0</v>
      </c>
      <c r="P86" s="424"/>
      <c r="Q86" s="424"/>
    </row>
    <row r="87" spans="1:17" ht="25.5">
      <c r="A87" s="392">
        <v>630</v>
      </c>
      <c r="B87" s="239">
        <v>100</v>
      </c>
      <c r="C87" s="239">
        <v>300</v>
      </c>
      <c r="D87" s="239">
        <v>150</v>
      </c>
      <c r="E87" s="238">
        <v>100</v>
      </c>
      <c r="F87" s="238">
        <v>0</v>
      </c>
      <c r="G87" s="361" t="s">
        <v>3278</v>
      </c>
      <c r="H87" s="42" t="s">
        <v>264</v>
      </c>
      <c r="I87" s="44"/>
      <c r="J87" s="44" t="s">
        <v>1575</v>
      </c>
      <c r="K87" s="202">
        <f t="shared" si="1"/>
        <v>1120222</v>
      </c>
      <c r="L87" s="202">
        <v>1120222</v>
      </c>
      <c r="M87" s="202"/>
      <c r="N87" s="202">
        <v>1727213.11</v>
      </c>
      <c r="P87" s="424"/>
      <c r="Q87" s="424"/>
    </row>
    <row r="88" spans="1:17" ht="25.5">
      <c r="A88" s="392">
        <v>630</v>
      </c>
      <c r="B88" s="239">
        <v>100</v>
      </c>
      <c r="C88" s="239">
        <v>300</v>
      </c>
      <c r="D88" s="239">
        <v>160</v>
      </c>
      <c r="E88" s="238">
        <v>0</v>
      </c>
      <c r="F88" s="238">
        <v>0</v>
      </c>
      <c r="G88" s="361" t="s">
        <v>3280</v>
      </c>
      <c r="H88" s="42" t="s">
        <v>265</v>
      </c>
      <c r="I88" s="41" t="s">
        <v>266</v>
      </c>
      <c r="J88" s="41" t="s">
        <v>1575</v>
      </c>
      <c r="K88" s="202">
        <f t="shared" si="1"/>
        <v>0</v>
      </c>
      <c r="L88" s="202">
        <v>0</v>
      </c>
      <c r="M88" s="202"/>
      <c r="N88" s="202">
        <v>0</v>
      </c>
      <c r="P88" s="424"/>
      <c r="Q88" s="424"/>
    </row>
    <row r="89" spans="1:17" ht="25.5">
      <c r="A89" s="392">
        <v>630</v>
      </c>
      <c r="B89" s="239">
        <v>100</v>
      </c>
      <c r="C89" s="239">
        <v>300</v>
      </c>
      <c r="D89" s="239">
        <v>200</v>
      </c>
      <c r="E89" s="239">
        <v>0</v>
      </c>
      <c r="F89" s="239">
        <v>0</v>
      </c>
      <c r="G89" s="362" t="s">
        <v>3281</v>
      </c>
      <c r="H89" s="42" t="s">
        <v>267</v>
      </c>
      <c r="I89" s="41" t="s">
        <v>268</v>
      </c>
      <c r="J89" s="41" t="s">
        <v>1579</v>
      </c>
      <c r="K89" s="202">
        <f t="shared" si="1"/>
        <v>0</v>
      </c>
      <c r="L89" s="202">
        <v>0</v>
      </c>
      <c r="M89" s="202"/>
      <c r="N89" s="202">
        <v>0</v>
      </c>
      <c r="P89" s="424"/>
      <c r="Q89" s="424"/>
    </row>
    <row r="90" spans="1:17">
      <c r="A90" s="392">
        <v>630</v>
      </c>
      <c r="B90" s="239">
        <v>100</v>
      </c>
      <c r="C90" s="239">
        <v>300</v>
      </c>
      <c r="D90" s="239">
        <v>250</v>
      </c>
      <c r="E90" s="239">
        <v>0</v>
      </c>
      <c r="F90" s="239">
        <v>0</v>
      </c>
      <c r="G90" s="362" t="s">
        <v>3282</v>
      </c>
      <c r="H90" s="42" t="s">
        <v>233</v>
      </c>
      <c r="I90" s="41" t="s">
        <v>269</v>
      </c>
      <c r="J90" s="41" t="s">
        <v>1575</v>
      </c>
      <c r="K90" s="202">
        <f t="shared" si="1"/>
        <v>199555</v>
      </c>
      <c r="L90" s="202">
        <v>199555</v>
      </c>
      <c r="M90" s="202"/>
      <c r="N90" s="202">
        <v>218081.38</v>
      </c>
      <c r="P90" s="424"/>
      <c r="Q90" s="424"/>
    </row>
    <row r="91" spans="1:17" ht="25.5">
      <c r="A91" s="392">
        <v>630</v>
      </c>
      <c r="B91" s="239">
        <v>100</v>
      </c>
      <c r="C91" s="239">
        <v>300</v>
      </c>
      <c r="D91" s="239">
        <v>300</v>
      </c>
      <c r="E91" s="239">
        <v>0</v>
      </c>
      <c r="F91" s="239">
        <v>0</v>
      </c>
      <c r="G91" s="362" t="s">
        <v>3283</v>
      </c>
      <c r="H91" s="42" t="s">
        <v>270</v>
      </c>
      <c r="I91" s="41" t="s">
        <v>271</v>
      </c>
      <c r="J91" s="41" t="s">
        <v>1575</v>
      </c>
      <c r="K91" s="202">
        <f t="shared" si="1"/>
        <v>0</v>
      </c>
      <c r="L91" s="202">
        <v>0</v>
      </c>
      <c r="M91" s="202"/>
      <c r="N91" s="202">
        <v>0</v>
      </c>
      <c r="P91" s="424"/>
      <c r="Q91" s="424"/>
    </row>
    <row r="92" spans="1:17" ht="25.5">
      <c r="A92" s="392">
        <v>630</v>
      </c>
      <c r="B92" s="239">
        <v>100</v>
      </c>
      <c r="C92" s="239">
        <v>300</v>
      </c>
      <c r="D92" s="239">
        <v>350</v>
      </c>
      <c r="E92" s="239">
        <v>0</v>
      </c>
      <c r="F92" s="239">
        <v>0</v>
      </c>
      <c r="G92" s="362" t="s">
        <v>3284</v>
      </c>
      <c r="H92" s="42" t="s">
        <v>272</v>
      </c>
      <c r="I92" s="41" t="s">
        <v>273</v>
      </c>
      <c r="J92" s="41" t="s">
        <v>1575</v>
      </c>
      <c r="K92" s="202">
        <f t="shared" si="1"/>
        <v>0</v>
      </c>
      <c r="L92" s="202">
        <v>0</v>
      </c>
      <c r="M92" s="202"/>
      <c r="N92" s="202">
        <v>0</v>
      </c>
      <c r="P92" s="424"/>
      <c r="Q92" s="424"/>
    </row>
    <row r="93" spans="1:17">
      <c r="A93" s="392">
        <v>630</v>
      </c>
      <c r="B93" s="239">
        <v>100</v>
      </c>
      <c r="C93" s="239">
        <v>300</v>
      </c>
      <c r="D93" s="239">
        <v>400</v>
      </c>
      <c r="E93" s="239">
        <v>0</v>
      </c>
      <c r="F93" s="239">
        <v>0</v>
      </c>
      <c r="G93" s="362" t="s">
        <v>3285</v>
      </c>
      <c r="H93" s="42" t="s">
        <v>274</v>
      </c>
      <c r="I93" s="41" t="s">
        <v>275</v>
      </c>
      <c r="J93" s="41" t="s">
        <v>1575</v>
      </c>
      <c r="K93" s="202">
        <f t="shared" si="1"/>
        <v>0</v>
      </c>
      <c r="L93" s="202">
        <v>0</v>
      </c>
      <c r="M93" s="202"/>
      <c r="N93" s="202">
        <v>0</v>
      </c>
      <c r="P93" s="424"/>
      <c r="Q93" s="424"/>
    </row>
    <row r="94" spans="1:17" ht="25.5">
      <c r="A94" s="392">
        <v>630</v>
      </c>
      <c r="B94" s="239">
        <v>100</v>
      </c>
      <c r="C94" s="239">
        <v>300</v>
      </c>
      <c r="D94" s="239">
        <v>450</v>
      </c>
      <c r="E94" s="239">
        <v>0</v>
      </c>
      <c r="F94" s="239">
        <v>0</v>
      </c>
      <c r="G94" s="362" t="s">
        <v>3286</v>
      </c>
      <c r="H94" s="42" t="s">
        <v>276</v>
      </c>
      <c r="I94" s="41" t="s">
        <v>277</v>
      </c>
      <c r="J94" s="41" t="s">
        <v>1575</v>
      </c>
      <c r="K94" s="202">
        <f t="shared" si="1"/>
        <v>0</v>
      </c>
      <c r="L94" s="202">
        <v>0</v>
      </c>
      <c r="M94" s="202"/>
      <c r="N94" s="202">
        <v>0</v>
      </c>
      <c r="P94" s="424"/>
      <c r="Q94" s="424"/>
    </row>
    <row r="95" spans="1:17" ht="25.5">
      <c r="A95" s="392">
        <v>630</v>
      </c>
      <c r="B95" s="239">
        <v>100</v>
      </c>
      <c r="C95" s="239">
        <v>300</v>
      </c>
      <c r="D95" s="239">
        <v>510</v>
      </c>
      <c r="E95" s="239">
        <v>0</v>
      </c>
      <c r="F95" s="239">
        <v>0</v>
      </c>
      <c r="G95" s="362" t="s">
        <v>3287</v>
      </c>
      <c r="H95" s="42" t="s">
        <v>278</v>
      </c>
      <c r="I95" s="41" t="s">
        <v>279</v>
      </c>
      <c r="J95" s="41" t="s">
        <v>1579</v>
      </c>
      <c r="K95" s="202">
        <f t="shared" si="1"/>
        <v>0</v>
      </c>
      <c r="L95" s="202">
        <v>0</v>
      </c>
      <c r="M95" s="202"/>
      <c r="N95" s="202">
        <v>0</v>
      </c>
      <c r="P95" s="424"/>
      <c r="Q95" s="424"/>
    </row>
    <row r="96" spans="1:17" ht="25.5">
      <c r="A96" s="392">
        <v>630</v>
      </c>
      <c r="B96" s="239">
        <v>100</v>
      </c>
      <c r="C96" s="239">
        <v>300</v>
      </c>
      <c r="D96" s="239">
        <v>520</v>
      </c>
      <c r="E96" s="239">
        <v>0</v>
      </c>
      <c r="F96" s="239">
        <v>0</v>
      </c>
      <c r="G96" s="362" t="s">
        <v>3288</v>
      </c>
      <c r="H96" s="42" t="s">
        <v>280</v>
      </c>
      <c r="I96" s="41" t="s">
        <v>281</v>
      </c>
      <c r="J96" s="41" t="s">
        <v>1579</v>
      </c>
      <c r="K96" s="202">
        <f t="shared" si="1"/>
        <v>0</v>
      </c>
      <c r="L96" s="202">
        <v>0</v>
      </c>
      <c r="M96" s="202"/>
      <c r="N96" s="202">
        <v>0</v>
      </c>
      <c r="P96" s="424"/>
      <c r="Q96" s="424"/>
    </row>
    <row r="97" spans="1:17" ht="25.5">
      <c r="A97" s="392">
        <v>630</v>
      </c>
      <c r="B97" s="239">
        <v>100</v>
      </c>
      <c r="C97" s="239">
        <v>300</v>
      </c>
      <c r="D97" s="239">
        <v>550</v>
      </c>
      <c r="E97" s="239">
        <v>0</v>
      </c>
      <c r="F97" s="239">
        <v>0</v>
      </c>
      <c r="G97" s="362" t="s">
        <v>3289</v>
      </c>
      <c r="H97" s="42" t="s">
        <v>282</v>
      </c>
      <c r="I97" s="41" t="s">
        <v>283</v>
      </c>
      <c r="J97" s="41" t="s">
        <v>1575</v>
      </c>
      <c r="K97" s="202">
        <f t="shared" si="1"/>
        <v>0</v>
      </c>
      <c r="L97" s="202">
        <v>0</v>
      </c>
      <c r="M97" s="202"/>
      <c r="N97" s="202">
        <v>0</v>
      </c>
      <c r="P97" s="424"/>
      <c r="Q97" s="424"/>
    </row>
    <row r="98" spans="1:17" ht="25.5">
      <c r="A98" s="392">
        <v>630</v>
      </c>
      <c r="B98" s="239">
        <v>100</v>
      </c>
      <c r="C98" s="239">
        <v>300</v>
      </c>
      <c r="D98" s="239">
        <v>600</v>
      </c>
      <c r="E98" s="239">
        <v>0</v>
      </c>
      <c r="F98" s="239">
        <v>0</v>
      </c>
      <c r="G98" s="362" t="s">
        <v>3290</v>
      </c>
      <c r="H98" s="42" t="s">
        <v>285</v>
      </c>
      <c r="I98" s="41" t="s">
        <v>284</v>
      </c>
      <c r="J98" s="41" t="s">
        <v>1575</v>
      </c>
      <c r="K98" s="202">
        <f t="shared" si="1"/>
        <v>0</v>
      </c>
      <c r="L98" s="202">
        <v>0</v>
      </c>
      <c r="M98" s="202"/>
      <c r="N98" s="202">
        <v>0</v>
      </c>
      <c r="P98" s="424"/>
      <c r="Q98" s="424"/>
    </row>
    <row r="99" spans="1:17" ht="38.25">
      <c r="A99" s="392">
        <v>630</v>
      </c>
      <c r="B99" s="239">
        <v>100</v>
      </c>
      <c r="C99" s="239">
        <v>300</v>
      </c>
      <c r="D99" s="239">
        <v>610</v>
      </c>
      <c r="E99" s="239">
        <v>0</v>
      </c>
      <c r="F99" s="239">
        <v>0</v>
      </c>
      <c r="G99" s="362" t="s">
        <v>3291</v>
      </c>
      <c r="H99" s="42" t="s">
        <v>286</v>
      </c>
      <c r="I99" s="41" t="s">
        <v>287</v>
      </c>
      <c r="J99" s="41" t="s">
        <v>1575</v>
      </c>
      <c r="K99" s="202">
        <f t="shared" si="1"/>
        <v>260481</v>
      </c>
      <c r="L99" s="202">
        <v>260481</v>
      </c>
      <c r="M99" s="202"/>
      <c r="N99" s="202">
        <v>0</v>
      </c>
      <c r="P99" s="424"/>
      <c r="Q99" s="424"/>
    </row>
    <row r="100" spans="1:17" ht="25.5">
      <c r="A100" s="392">
        <v>630</v>
      </c>
      <c r="B100" s="239">
        <v>100</v>
      </c>
      <c r="C100" s="239">
        <v>300</v>
      </c>
      <c r="D100" s="239">
        <v>650</v>
      </c>
      <c r="E100" s="239">
        <v>0</v>
      </c>
      <c r="F100" s="239">
        <v>0</v>
      </c>
      <c r="G100" s="360" t="s">
        <v>3292</v>
      </c>
      <c r="H100" s="40" t="s">
        <v>288</v>
      </c>
      <c r="I100" s="41" t="s">
        <v>289</v>
      </c>
      <c r="J100" s="41" t="s">
        <v>1579</v>
      </c>
      <c r="K100" s="414"/>
      <c r="L100" s="414">
        <v>0</v>
      </c>
      <c r="M100" s="414"/>
      <c r="N100" s="414">
        <v>0</v>
      </c>
      <c r="P100" s="424"/>
      <c r="Q100" s="424"/>
    </row>
    <row r="101" spans="1:17" ht="25.5">
      <c r="A101" s="392">
        <v>630</v>
      </c>
      <c r="B101" s="239">
        <v>100</v>
      </c>
      <c r="C101" s="239">
        <v>300</v>
      </c>
      <c r="D101" s="239">
        <v>650</v>
      </c>
      <c r="E101" s="239">
        <v>10</v>
      </c>
      <c r="F101" s="239">
        <v>0</v>
      </c>
      <c r="G101" s="362" t="s">
        <v>3293</v>
      </c>
      <c r="H101" s="42" t="s">
        <v>290</v>
      </c>
      <c r="I101" s="41" t="s">
        <v>291</v>
      </c>
      <c r="J101" s="41" t="s">
        <v>1579</v>
      </c>
      <c r="K101" s="202">
        <f t="shared" si="1"/>
        <v>0</v>
      </c>
      <c r="L101" s="202">
        <v>0</v>
      </c>
      <c r="M101" s="202"/>
      <c r="N101" s="202">
        <v>0</v>
      </c>
      <c r="P101" s="424"/>
      <c r="Q101" s="424"/>
    </row>
    <row r="102" spans="1:17" ht="25.5">
      <c r="A102" s="392">
        <v>630</v>
      </c>
      <c r="B102" s="239">
        <v>100</v>
      </c>
      <c r="C102" s="239">
        <v>300</v>
      </c>
      <c r="D102" s="239">
        <v>650</v>
      </c>
      <c r="E102" s="239">
        <v>20</v>
      </c>
      <c r="F102" s="239">
        <v>0</v>
      </c>
      <c r="G102" s="360" t="s">
        <v>3294</v>
      </c>
      <c r="H102" s="40" t="s">
        <v>292</v>
      </c>
      <c r="I102" s="41" t="s">
        <v>293</v>
      </c>
      <c r="J102" s="41" t="s">
        <v>1579</v>
      </c>
      <c r="K102" s="414"/>
      <c r="L102" s="414">
        <v>0</v>
      </c>
      <c r="M102" s="414"/>
      <c r="N102" s="414">
        <v>0</v>
      </c>
      <c r="P102" s="424"/>
      <c r="Q102" s="424"/>
    </row>
    <row r="103" spans="1:17">
      <c r="A103" s="392">
        <v>630</v>
      </c>
      <c r="B103" s="239">
        <v>100</v>
      </c>
      <c r="C103" s="239">
        <v>300</v>
      </c>
      <c r="D103" s="239">
        <v>650</v>
      </c>
      <c r="E103" s="239">
        <v>20</v>
      </c>
      <c r="F103" s="238">
        <v>10</v>
      </c>
      <c r="G103" s="361" t="s">
        <v>3295</v>
      </c>
      <c r="H103" s="42" t="s">
        <v>255</v>
      </c>
      <c r="I103" s="44"/>
      <c r="J103" s="44" t="s">
        <v>1579</v>
      </c>
      <c r="K103" s="202">
        <f t="shared" si="1"/>
        <v>0</v>
      </c>
      <c r="L103" s="202">
        <v>0</v>
      </c>
      <c r="M103" s="202"/>
      <c r="N103" s="202">
        <v>0</v>
      </c>
      <c r="P103" s="424"/>
      <c r="Q103" s="424"/>
    </row>
    <row r="104" spans="1:17" ht="25.5">
      <c r="A104" s="392">
        <v>630</v>
      </c>
      <c r="B104" s="239">
        <v>100</v>
      </c>
      <c r="C104" s="239">
        <v>300</v>
      </c>
      <c r="D104" s="239">
        <v>650</v>
      </c>
      <c r="E104" s="238">
        <v>20</v>
      </c>
      <c r="F104" s="238">
        <v>11</v>
      </c>
      <c r="G104" s="361" t="s">
        <v>3276</v>
      </c>
      <c r="H104" s="42" t="s">
        <v>225</v>
      </c>
      <c r="I104" s="370"/>
      <c r="J104" s="44" t="s">
        <v>1575</v>
      </c>
      <c r="K104" s="202">
        <f t="shared" si="1"/>
        <v>0</v>
      </c>
      <c r="L104" s="202">
        <v>0</v>
      </c>
      <c r="M104" s="202"/>
      <c r="N104" s="202">
        <v>0</v>
      </c>
      <c r="P104" s="424"/>
      <c r="Q104" s="424"/>
    </row>
    <row r="105" spans="1:17" ht="25.5">
      <c r="A105" s="392">
        <v>630</v>
      </c>
      <c r="B105" s="239">
        <v>100</v>
      </c>
      <c r="C105" s="239">
        <v>300</v>
      </c>
      <c r="D105" s="239">
        <v>650</v>
      </c>
      <c r="E105" s="238">
        <v>20</v>
      </c>
      <c r="F105" s="238">
        <v>12</v>
      </c>
      <c r="G105" s="361" t="s">
        <v>3279</v>
      </c>
      <c r="H105" s="42" t="s">
        <v>229</v>
      </c>
      <c r="I105" s="370"/>
      <c r="J105" s="44" t="s">
        <v>1575</v>
      </c>
      <c r="K105" s="202">
        <f t="shared" si="1"/>
        <v>0</v>
      </c>
      <c r="L105" s="202">
        <v>0</v>
      </c>
      <c r="M105" s="202"/>
      <c r="N105" s="202">
        <v>0</v>
      </c>
      <c r="P105" s="424"/>
      <c r="Q105" s="424"/>
    </row>
    <row r="106" spans="1:17" ht="38.25">
      <c r="A106" s="392">
        <v>630</v>
      </c>
      <c r="B106" s="239">
        <v>100</v>
      </c>
      <c r="C106" s="239">
        <v>300</v>
      </c>
      <c r="D106" s="239">
        <v>650</v>
      </c>
      <c r="E106" s="239">
        <v>20</v>
      </c>
      <c r="F106" s="238">
        <v>20</v>
      </c>
      <c r="G106" s="361" t="s">
        <v>3296</v>
      </c>
      <c r="H106" s="42" t="s">
        <v>292</v>
      </c>
      <c r="I106" s="44"/>
      <c r="J106" s="44" t="s">
        <v>1579</v>
      </c>
      <c r="K106" s="202">
        <f t="shared" si="1"/>
        <v>31345.759999999998</v>
      </c>
      <c r="L106" s="202">
        <v>31345.759999999998</v>
      </c>
      <c r="M106" s="202"/>
      <c r="N106" s="202">
        <v>206150.48</v>
      </c>
      <c r="P106" s="424"/>
      <c r="Q106" s="424"/>
    </row>
    <row r="107" spans="1:17" ht="25.5">
      <c r="A107" s="392">
        <v>630</v>
      </c>
      <c r="B107" s="239">
        <v>100</v>
      </c>
      <c r="C107" s="239">
        <v>300</v>
      </c>
      <c r="D107" s="239">
        <v>700</v>
      </c>
      <c r="E107" s="239">
        <v>0</v>
      </c>
      <c r="F107" s="239">
        <v>0</v>
      </c>
      <c r="G107" s="362" t="s">
        <v>3297</v>
      </c>
      <c r="H107" s="42" t="s">
        <v>294</v>
      </c>
      <c r="I107" s="41" t="s">
        <v>295</v>
      </c>
      <c r="J107" s="41"/>
      <c r="K107" s="202">
        <f t="shared" si="1"/>
        <v>110616</v>
      </c>
      <c r="L107" s="202">
        <v>110616</v>
      </c>
      <c r="M107" s="202"/>
      <c r="N107" s="202">
        <v>62942.97</v>
      </c>
      <c r="P107" s="424"/>
      <c r="Q107" s="424"/>
    </row>
    <row r="108" spans="1:17" ht="38.25">
      <c r="A108" s="392">
        <v>630</v>
      </c>
      <c r="B108" s="239">
        <v>100</v>
      </c>
      <c r="C108" s="239">
        <v>300</v>
      </c>
      <c r="D108" s="239">
        <v>800</v>
      </c>
      <c r="E108" s="239">
        <v>0</v>
      </c>
      <c r="F108" s="239">
        <v>0</v>
      </c>
      <c r="G108" s="362" t="s">
        <v>3298</v>
      </c>
      <c r="H108" s="42" t="s">
        <v>296</v>
      </c>
      <c r="I108" s="41" t="s">
        <v>297</v>
      </c>
      <c r="J108" s="41" t="s">
        <v>1530</v>
      </c>
      <c r="K108" s="202">
        <f t="shared" si="1"/>
        <v>0</v>
      </c>
      <c r="L108" s="202">
        <v>0</v>
      </c>
      <c r="M108" s="202"/>
      <c r="N108" s="202">
        <v>0</v>
      </c>
      <c r="P108" s="424"/>
      <c r="Q108" s="424"/>
    </row>
    <row r="109" spans="1:17" ht="38.25">
      <c r="A109" s="392">
        <v>630</v>
      </c>
      <c r="B109" s="239">
        <v>100</v>
      </c>
      <c r="C109" s="239">
        <v>300</v>
      </c>
      <c r="D109" s="239">
        <v>900</v>
      </c>
      <c r="E109" s="239">
        <v>0</v>
      </c>
      <c r="F109" s="239">
        <v>0</v>
      </c>
      <c r="G109" s="362" t="s">
        <v>3299</v>
      </c>
      <c r="H109" s="42" t="s">
        <v>298</v>
      </c>
      <c r="I109" s="41" t="s">
        <v>299</v>
      </c>
      <c r="J109" s="41" t="s">
        <v>1579</v>
      </c>
      <c r="K109" s="202">
        <f t="shared" si="1"/>
        <v>0</v>
      </c>
      <c r="L109" s="202">
        <v>0</v>
      </c>
      <c r="M109" s="202"/>
      <c r="N109" s="202">
        <v>0</v>
      </c>
      <c r="P109" s="424"/>
      <c r="Q109" s="424"/>
    </row>
    <row r="110" spans="1:17" ht="38.25">
      <c r="A110" s="392">
        <v>630</v>
      </c>
      <c r="B110" s="239">
        <v>200</v>
      </c>
      <c r="C110" s="239">
        <v>0</v>
      </c>
      <c r="D110" s="239">
        <v>0</v>
      </c>
      <c r="E110" s="239">
        <v>0</v>
      </c>
      <c r="F110" s="239">
        <v>0</v>
      </c>
      <c r="G110" s="360" t="s">
        <v>3300</v>
      </c>
      <c r="H110" s="40" t="s">
        <v>300</v>
      </c>
      <c r="I110" s="41" t="s">
        <v>301</v>
      </c>
      <c r="J110" s="41" t="s">
        <v>1575</v>
      </c>
      <c r="K110" s="414"/>
      <c r="L110" s="414">
        <v>0</v>
      </c>
      <c r="M110" s="414"/>
      <c r="N110" s="414">
        <v>0</v>
      </c>
      <c r="P110" s="424"/>
      <c r="Q110" s="424"/>
    </row>
    <row r="111" spans="1:17" ht="25.5">
      <c r="A111" s="392">
        <v>630</v>
      </c>
      <c r="B111" s="239">
        <v>200</v>
      </c>
      <c r="C111" s="239">
        <v>100</v>
      </c>
      <c r="D111" s="239">
        <v>0</v>
      </c>
      <c r="E111" s="239">
        <v>0</v>
      </c>
      <c r="F111" s="239">
        <v>0</v>
      </c>
      <c r="G111" s="362" t="s">
        <v>3301</v>
      </c>
      <c r="H111" s="42" t="s">
        <v>302</v>
      </c>
      <c r="I111" s="41" t="s">
        <v>303</v>
      </c>
      <c r="J111" s="41" t="s">
        <v>1575</v>
      </c>
      <c r="K111" s="202">
        <f t="shared" si="1"/>
        <v>0</v>
      </c>
      <c r="L111" s="202">
        <v>0</v>
      </c>
      <c r="M111" s="202"/>
      <c r="N111" s="202">
        <v>0</v>
      </c>
      <c r="P111" s="424"/>
      <c r="Q111" s="424"/>
    </row>
    <row r="112" spans="1:17" ht="25.5">
      <c r="A112" s="392">
        <v>630</v>
      </c>
      <c r="B112" s="239">
        <v>200</v>
      </c>
      <c r="C112" s="239">
        <v>200</v>
      </c>
      <c r="D112" s="239">
        <v>0</v>
      </c>
      <c r="E112" s="239">
        <v>0</v>
      </c>
      <c r="F112" s="239">
        <v>0</v>
      </c>
      <c r="G112" s="362" t="s">
        <v>3302</v>
      </c>
      <c r="H112" s="42" t="s">
        <v>304</v>
      </c>
      <c r="I112" s="41" t="s">
        <v>305</v>
      </c>
      <c r="J112" s="41" t="s">
        <v>1575</v>
      </c>
      <c r="K112" s="202">
        <f t="shared" si="1"/>
        <v>0</v>
      </c>
      <c r="L112" s="202">
        <v>0</v>
      </c>
      <c r="M112" s="202"/>
      <c r="N112" s="202">
        <v>0</v>
      </c>
      <c r="P112" s="424"/>
      <c r="Q112" s="424"/>
    </row>
    <row r="113" spans="1:17" ht="38.25">
      <c r="A113" s="392">
        <v>630</v>
      </c>
      <c r="B113" s="239">
        <v>200</v>
      </c>
      <c r="C113" s="239">
        <v>250</v>
      </c>
      <c r="D113" s="239">
        <v>0</v>
      </c>
      <c r="E113" s="239">
        <v>0</v>
      </c>
      <c r="F113" s="239">
        <v>0</v>
      </c>
      <c r="G113" s="362" t="s">
        <v>3303</v>
      </c>
      <c r="H113" s="42" t="s">
        <v>306</v>
      </c>
      <c r="I113" s="41" t="s">
        <v>307</v>
      </c>
      <c r="J113" s="41" t="s">
        <v>1575</v>
      </c>
      <c r="K113" s="202">
        <f t="shared" si="1"/>
        <v>0</v>
      </c>
      <c r="L113" s="202">
        <v>0</v>
      </c>
      <c r="M113" s="202"/>
      <c r="N113" s="202">
        <v>0</v>
      </c>
      <c r="P113" s="424"/>
      <c r="Q113" s="424"/>
    </row>
    <row r="114" spans="1:17" ht="25.5">
      <c r="A114" s="392">
        <v>630</v>
      </c>
      <c r="B114" s="239">
        <v>200</v>
      </c>
      <c r="C114" s="239">
        <v>300</v>
      </c>
      <c r="D114" s="239">
        <v>0</v>
      </c>
      <c r="E114" s="239">
        <v>0</v>
      </c>
      <c r="F114" s="239">
        <v>0</v>
      </c>
      <c r="G114" s="362" t="s">
        <v>3304</v>
      </c>
      <c r="H114" s="42" t="s">
        <v>308</v>
      </c>
      <c r="I114" s="41" t="s">
        <v>309</v>
      </c>
      <c r="J114" s="41" t="s">
        <v>1575</v>
      </c>
      <c r="K114" s="202">
        <f t="shared" si="1"/>
        <v>0</v>
      </c>
      <c r="L114" s="202">
        <v>0</v>
      </c>
      <c r="M114" s="202"/>
      <c r="N114" s="202">
        <v>0</v>
      </c>
      <c r="P114" s="424"/>
      <c r="Q114" s="424"/>
    </row>
    <row r="115" spans="1:17" ht="38.25">
      <c r="A115" s="392">
        <v>630</v>
      </c>
      <c r="B115" s="239">
        <v>200</v>
      </c>
      <c r="C115" s="239">
        <v>400</v>
      </c>
      <c r="D115" s="239">
        <v>0</v>
      </c>
      <c r="E115" s="239">
        <v>0</v>
      </c>
      <c r="F115" s="239">
        <v>0</v>
      </c>
      <c r="G115" s="362" t="s">
        <v>3305</v>
      </c>
      <c r="H115" s="42" t="s">
        <v>310</v>
      </c>
      <c r="I115" s="41" t="s">
        <v>311</v>
      </c>
      <c r="J115" s="41" t="s">
        <v>1575</v>
      </c>
      <c r="K115" s="202">
        <f t="shared" si="1"/>
        <v>0</v>
      </c>
      <c r="L115" s="202">
        <v>0</v>
      </c>
      <c r="M115" s="202"/>
      <c r="N115" s="202">
        <v>0</v>
      </c>
      <c r="P115" s="424"/>
      <c r="Q115" s="424"/>
    </row>
    <row r="116" spans="1:17" ht="25.5">
      <c r="A116" s="392">
        <v>630</v>
      </c>
      <c r="B116" s="239">
        <v>300</v>
      </c>
      <c r="C116" s="239">
        <v>0</v>
      </c>
      <c r="D116" s="239">
        <v>0</v>
      </c>
      <c r="E116" s="239">
        <v>0</v>
      </c>
      <c r="F116" s="239">
        <v>0</v>
      </c>
      <c r="G116" s="360" t="s">
        <v>3306</v>
      </c>
      <c r="H116" s="40" t="s">
        <v>312</v>
      </c>
      <c r="I116" s="41" t="s">
        <v>313</v>
      </c>
      <c r="J116" s="41"/>
      <c r="K116" s="414"/>
      <c r="L116" s="414">
        <v>0</v>
      </c>
      <c r="M116" s="414"/>
      <c r="N116" s="414">
        <v>0</v>
      </c>
      <c r="P116" s="424"/>
      <c r="Q116" s="424"/>
    </row>
    <row r="117" spans="1:17">
      <c r="A117" s="392">
        <v>630</v>
      </c>
      <c r="B117" s="239">
        <v>300</v>
      </c>
      <c r="C117" s="238">
        <v>100</v>
      </c>
      <c r="D117" s="238">
        <v>0</v>
      </c>
      <c r="E117" s="238">
        <v>0</v>
      </c>
      <c r="F117" s="238">
        <v>0</v>
      </c>
      <c r="G117" s="363" t="s">
        <v>3307</v>
      </c>
      <c r="H117" s="40" t="s">
        <v>314</v>
      </c>
      <c r="I117" s="44"/>
      <c r="J117" s="44"/>
      <c r="K117" s="414"/>
      <c r="L117" s="414">
        <v>0</v>
      </c>
      <c r="M117" s="414"/>
      <c r="N117" s="414">
        <v>0</v>
      </c>
      <c r="P117" s="424"/>
      <c r="Q117" s="424"/>
    </row>
    <row r="118" spans="1:17">
      <c r="A118" s="392">
        <v>630</v>
      </c>
      <c r="B118" s="239">
        <v>300</v>
      </c>
      <c r="C118" s="238">
        <v>100</v>
      </c>
      <c r="D118" s="238">
        <v>100</v>
      </c>
      <c r="E118" s="238">
        <v>0</v>
      </c>
      <c r="F118" s="238">
        <v>0</v>
      </c>
      <c r="G118" s="361" t="s">
        <v>3308</v>
      </c>
      <c r="H118" s="42" t="s">
        <v>222</v>
      </c>
      <c r="I118" s="44"/>
      <c r="J118" s="44"/>
      <c r="K118" s="202">
        <f t="shared" si="1"/>
        <v>401066.7</v>
      </c>
      <c r="L118" s="202">
        <v>401066.7</v>
      </c>
      <c r="M118" s="202"/>
      <c r="N118" s="202">
        <v>461030.32</v>
      </c>
      <c r="P118" s="424"/>
      <c r="Q118" s="424"/>
    </row>
    <row r="119" spans="1:17">
      <c r="A119" s="392">
        <v>630</v>
      </c>
      <c r="B119" s="239">
        <v>300</v>
      </c>
      <c r="C119" s="238">
        <v>100</v>
      </c>
      <c r="D119" s="238">
        <v>200</v>
      </c>
      <c r="E119" s="238">
        <v>0</v>
      </c>
      <c r="F119" s="238">
        <v>0</v>
      </c>
      <c r="G119" s="361" t="s">
        <v>3309</v>
      </c>
      <c r="H119" s="42" t="s">
        <v>315</v>
      </c>
      <c r="I119" s="44"/>
      <c r="J119" s="44"/>
      <c r="K119" s="202">
        <f t="shared" si="1"/>
        <v>0</v>
      </c>
      <c r="L119" s="202">
        <v>0</v>
      </c>
      <c r="M119" s="202"/>
      <c r="N119" s="202">
        <v>0</v>
      </c>
      <c r="P119" s="424"/>
      <c r="Q119" s="424"/>
    </row>
    <row r="120" spans="1:17">
      <c r="A120" s="392">
        <v>630</v>
      </c>
      <c r="B120" s="239">
        <v>300</v>
      </c>
      <c r="C120" s="238">
        <v>100</v>
      </c>
      <c r="D120" s="238">
        <v>300</v>
      </c>
      <c r="E120" s="238">
        <v>0</v>
      </c>
      <c r="F120" s="238">
        <v>0</v>
      </c>
      <c r="G120" s="361" t="s">
        <v>3310</v>
      </c>
      <c r="H120" s="42" t="s">
        <v>316</v>
      </c>
      <c r="I120" s="44"/>
      <c r="J120" s="44"/>
      <c r="K120" s="202">
        <f t="shared" si="1"/>
        <v>0</v>
      </c>
      <c r="L120" s="202">
        <v>0</v>
      </c>
      <c r="M120" s="202"/>
      <c r="N120" s="202">
        <v>0</v>
      </c>
      <c r="P120" s="424"/>
      <c r="Q120" s="424"/>
    </row>
    <row r="121" spans="1:17">
      <c r="A121" s="392">
        <v>630</v>
      </c>
      <c r="B121" s="239">
        <v>300</v>
      </c>
      <c r="C121" s="238">
        <v>100</v>
      </c>
      <c r="D121" s="238">
        <v>400</v>
      </c>
      <c r="E121" s="238">
        <v>0</v>
      </c>
      <c r="F121" s="238">
        <v>0</v>
      </c>
      <c r="G121" s="361" t="s">
        <v>3311</v>
      </c>
      <c r="H121" s="42" t="s">
        <v>262</v>
      </c>
      <c r="I121" s="44"/>
      <c r="J121" s="44"/>
      <c r="K121" s="202">
        <f t="shared" si="1"/>
        <v>369454.97</v>
      </c>
      <c r="L121" s="202">
        <v>369454.97</v>
      </c>
      <c r="M121" s="202"/>
      <c r="N121" s="202">
        <v>340099.99</v>
      </c>
      <c r="P121" s="424"/>
      <c r="Q121" s="424"/>
    </row>
    <row r="122" spans="1:17">
      <c r="A122" s="392">
        <v>630</v>
      </c>
      <c r="B122" s="239">
        <v>300</v>
      </c>
      <c r="C122" s="238">
        <v>100</v>
      </c>
      <c r="D122" s="238">
        <v>500</v>
      </c>
      <c r="E122" s="238">
        <v>0</v>
      </c>
      <c r="F122" s="238">
        <v>0</v>
      </c>
      <c r="G122" s="361" t="s">
        <v>3312</v>
      </c>
      <c r="H122" s="42" t="s">
        <v>317</v>
      </c>
      <c r="I122" s="44"/>
      <c r="J122" s="44"/>
      <c r="K122" s="202">
        <f t="shared" si="1"/>
        <v>0</v>
      </c>
      <c r="L122" s="202">
        <v>0</v>
      </c>
      <c r="M122" s="202"/>
      <c r="N122" s="202">
        <v>0</v>
      </c>
      <c r="P122" s="424"/>
      <c r="Q122" s="424"/>
    </row>
    <row r="123" spans="1:17">
      <c r="A123" s="392">
        <v>630</v>
      </c>
      <c r="B123" s="239">
        <v>300</v>
      </c>
      <c r="C123" s="238">
        <v>100</v>
      </c>
      <c r="D123" s="238">
        <v>600</v>
      </c>
      <c r="E123" s="238">
        <v>0</v>
      </c>
      <c r="F123" s="238">
        <v>0</v>
      </c>
      <c r="G123" s="361" t="s">
        <v>3313</v>
      </c>
      <c r="H123" s="42" t="s">
        <v>318</v>
      </c>
      <c r="I123" s="44"/>
      <c r="J123" s="44"/>
      <c r="K123" s="202">
        <f t="shared" si="1"/>
        <v>0</v>
      </c>
      <c r="L123" s="202">
        <v>0</v>
      </c>
      <c r="M123" s="202"/>
      <c r="N123" s="202">
        <v>0</v>
      </c>
      <c r="P123" s="424"/>
      <c r="Q123" s="424"/>
    </row>
    <row r="124" spans="1:17">
      <c r="A124" s="392">
        <v>630</v>
      </c>
      <c r="B124" s="239">
        <v>300</v>
      </c>
      <c r="C124" s="238">
        <v>100</v>
      </c>
      <c r="D124" s="238">
        <v>900</v>
      </c>
      <c r="E124" s="238">
        <v>0</v>
      </c>
      <c r="F124" s="238">
        <v>0</v>
      </c>
      <c r="G124" s="361" t="s">
        <v>3314</v>
      </c>
      <c r="H124" s="42" t="s">
        <v>319</v>
      </c>
      <c r="I124" s="44"/>
      <c r="J124" s="44"/>
      <c r="K124" s="202">
        <f t="shared" si="1"/>
        <v>0</v>
      </c>
      <c r="L124" s="202">
        <v>0</v>
      </c>
      <c r="M124" s="202"/>
      <c r="N124" s="202">
        <v>0</v>
      </c>
      <c r="P124" s="424"/>
      <c r="Q124" s="424"/>
    </row>
    <row r="125" spans="1:17">
      <c r="A125" s="392">
        <v>630</v>
      </c>
      <c r="B125" s="239">
        <v>300</v>
      </c>
      <c r="C125" s="238">
        <v>200</v>
      </c>
      <c r="D125" s="238">
        <v>0</v>
      </c>
      <c r="E125" s="238">
        <v>0</v>
      </c>
      <c r="F125" s="238">
        <v>0</v>
      </c>
      <c r="G125" s="363" t="s">
        <v>3315</v>
      </c>
      <c r="H125" s="40" t="s">
        <v>320</v>
      </c>
      <c r="I125" s="44"/>
      <c r="J125" s="44"/>
      <c r="K125" s="414"/>
      <c r="L125" s="414">
        <v>0</v>
      </c>
      <c r="M125" s="414"/>
      <c r="N125" s="414">
        <v>0</v>
      </c>
      <c r="P125" s="424"/>
      <c r="Q125" s="424"/>
    </row>
    <row r="126" spans="1:17">
      <c r="A126" s="392">
        <v>630</v>
      </c>
      <c r="B126" s="239">
        <v>300</v>
      </c>
      <c r="C126" s="238">
        <v>200</v>
      </c>
      <c r="D126" s="238">
        <v>50</v>
      </c>
      <c r="E126" s="238">
        <v>0</v>
      </c>
      <c r="F126" s="238">
        <v>0</v>
      </c>
      <c r="G126" s="361" t="s">
        <v>3316</v>
      </c>
      <c r="H126" s="42" t="s">
        <v>321</v>
      </c>
      <c r="I126" s="44"/>
      <c r="J126" s="44"/>
      <c r="K126" s="202">
        <f t="shared" si="1"/>
        <v>0</v>
      </c>
      <c r="L126" s="202">
        <v>0</v>
      </c>
      <c r="M126" s="202"/>
      <c r="N126" s="202">
        <v>0</v>
      </c>
      <c r="P126" s="424"/>
      <c r="Q126" s="424"/>
    </row>
    <row r="127" spans="1:17">
      <c r="A127" s="392">
        <v>630</v>
      </c>
      <c r="B127" s="239">
        <v>300</v>
      </c>
      <c r="C127" s="238">
        <v>200</v>
      </c>
      <c r="D127" s="238">
        <v>100</v>
      </c>
      <c r="E127" s="238">
        <v>0</v>
      </c>
      <c r="F127" s="238">
        <v>0</v>
      </c>
      <c r="G127" s="361" t="s">
        <v>3317</v>
      </c>
      <c r="H127" s="42" t="s">
        <v>322</v>
      </c>
      <c r="I127" s="44"/>
      <c r="J127" s="44"/>
      <c r="K127" s="202">
        <f t="shared" si="1"/>
        <v>0</v>
      </c>
      <c r="L127" s="202">
        <v>0</v>
      </c>
      <c r="M127" s="202"/>
      <c r="N127" s="202">
        <v>0</v>
      </c>
      <c r="P127" s="424"/>
      <c r="Q127" s="424"/>
    </row>
    <row r="128" spans="1:17">
      <c r="A128" s="392">
        <v>630</v>
      </c>
      <c r="B128" s="239">
        <v>300</v>
      </c>
      <c r="C128" s="238">
        <v>200</v>
      </c>
      <c r="D128" s="238">
        <v>150</v>
      </c>
      <c r="E128" s="238">
        <v>0</v>
      </c>
      <c r="F128" s="238">
        <v>0</v>
      </c>
      <c r="G128" s="361" t="s">
        <v>3318</v>
      </c>
      <c r="H128" s="42" t="s">
        <v>323</v>
      </c>
      <c r="I128" s="44"/>
      <c r="J128" s="44"/>
      <c r="K128" s="202">
        <f t="shared" si="1"/>
        <v>0</v>
      </c>
      <c r="L128" s="202">
        <v>0</v>
      </c>
      <c r="M128" s="202"/>
      <c r="N128" s="202">
        <v>0</v>
      </c>
      <c r="P128" s="424"/>
      <c r="Q128" s="424"/>
    </row>
    <row r="129" spans="1:17" ht="25.5">
      <c r="A129" s="392">
        <v>630</v>
      </c>
      <c r="B129" s="239">
        <v>300</v>
      </c>
      <c r="C129" s="238">
        <v>200</v>
      </c>
      <c r="D129" s="238">
        <v>200</v>
      </c>
      <c r="E129" s="238">
        <v>0</v>
      </c>
      <c r="F129" s="238">
        <v>0</v>
      </c>
      <c r="G129" s="361" t="s">
        <v>3319</v>
      </c>
      <c r="H129" s="42" t="s">
        <v>324</v>
      </c>
      <c r="I129" s="44"/>
      <c r="J129" s="44"/>
      <c r="K129" s="202">
        <f t="shared" si="1"/>
        <v>0</v>
      </c>
      <c r="L129" s="202">
        <v>0</v>
      </c>
      <c r="M129" s="202"/>
      <c r="N129" s="202">
        <v>0</v>
      </c>
      <c r="P129" s="424"/>
      <c r="Q129" s="424"/>
    </row>
    <row r="130" spans="1:17">
      <c r="A130" s="392">
        <v>630</v>
      </c>
      <c r="B130" s="239">
        <v>300</v>
      </c>
      <c r="C130" s="238">
        <v>200</v>
      </c>
      <c r="D130" s="238">
        <v>250</v>
      </c>
      <c r="E130" s="238">
        <v>0</v>
      </c>
      <c r="F130" s="238">
        <v>0</v>
      </c>
      <c r="G130" s="361" t="s">
        <v>3320</v>
      </c>
      <c r="H130" s="42" t="s">
        <v>325</v>
      </c>
      <c r="I130" s="44"/>
      <c r="J130" s="44"/>
      <c r="K130" s="202">
        <f t="shared" si="1"/>
        <v>0</v>
      </c>
      <c r="L130" s="202">
        <v>0</v>
      </c>
      <c r="M130" s="202"/>
      <c r="N130" s="202">
        <v>0</v>
      </c>
      <c r="P130" s="424"/>
      <c r="Q130" s="424"/>
    </row>
    <row r="131" spans="1:17">
      <c r="A131" s="392">
        <v>630</v>
      </c>
      <c r="B131" s="239">
        <v>300</v>
      </c>
      <c r="C131" s="238">
        <v>200</v>
      </c>
      <c r="D131" s="238">
        <v>300</v>
      </c>
      <c r="E131" s="238">
        <v>0</v>
      </c>
      <c r="F131" s="238">
        <v>0</v>
      </c>
      <c r="G131" s="361" t="s">
        <v>3321</v>
      </c>
      <c r="H131" s="42" t="s">
        <v>326</v>
      </c>
      <c r="I131" s="44"/>
      <c r="J131" s="44"/>
      <c r="K131" s="202">
        <f t="shared" si="1"/>
        <v>0</v>
      </c>
      <c r="L131" s="202">
        <v>0</v>
      </c>
      <c r="M131" s="202"/>
      <c r="N131" s="202">
        <v>0</v>
      </c>
      <c r="P131" s="424"/>
      <c r="Q131" s="424"/>
    </row>
    <row r="132" spans="1:17">
      <c r="A132" s="392">
        <v>630</v>
      </c>
      <c r="B132" s="239">
        <v>300</v>
      </c>
      <c r="C132" s="238">
        <v>200</v>
      </c>
      <c r="D132" s="238">
        <v>350</v>
      </c>
      <c r="E132" s="238">
        <v>0</v>
      </c>
      <c r="F132" s="238">
        <v>0</v>
      </c>
      <c r="G132" s="361" t="s">
        <v>3322</v>
      </c>
      <c r="H132" s="42" t="s">
        <v>327</v>
      </c>
      <c r="I132" s="44"/>
      <c r="J132" s="44"/>
      <c r="K132" s="202">
        <f t="shared" si="1"/>
        <v>0</v>
      </c>
      <c r="L132" s="202">
        <v>0</v>
      </c>
      <c r="M132" s="202"/>
      <c r="N132" s="202">
        <v>0</v>
      </c>
      <c r="P132" s="424"/>
      <c r="Q132" s="424"/>
    </row>
    <row r="133" spans="1:17" ht="25.5">
      <c r="A133" s="392">
        <v>630</v>
      </c>
      <c r="B133" s="239">
        <v>300</v>
      </c>
      <c r="C133" s="238">
        <v>200</v>
      </c>
      <c r="D133" s="238">
        <v>400</v>
      </c>
      <c r="E133" s="238">
        <v>0</v>
      </c>
      <c r="F133" s="238">
        <v>0</v>
      </c>
      <c r="G133" s="361" t="s">
        <v>3323</v>
      </c>
      <c r="H133" s="42" t="s">
        <v>328</v>
      </c>
      <c r="I133" s="44"/>
      <c r="J133" s="44"/>
      <c r="K133" s="202">
        <f t="shared" si="1"/>
        <v>0</v>
      </c>
      <c r="L133" s="202">
        <v>0</v>
      </c>
      <c r="M133" s="202"/>
      <c r="N133" s="202">
        <v>0</v>
      </c>
      <c r="P133" s="424"/>
      <c r="Q133" s="424"/>
    </row>
    <row r="134" spans="1:17">
      <c r="A134" s="392">
        <v>630</v>
      </c>
      <c r="B134" s="239">
        <v>300</v>
      </c>
      <c r="C134" s="238">
        <v>200</v>
      </c>
      <c r="D134" s="238">
        <v>450</v>
      </c>
      <c r="E134" s="238">
        <v>0</v>
      </c>
      <c r="F134" s="238">
        <v>0</v>
      </c>
      <c r="G134" s="361" t="s">
        <v>3324</v>
      </c>
      <c r="H134" s="42" t="s">
        <v>329</v>
      </c>
      <c r="I134" s="44"/>
      <c r="J134" s="44"/>
      <c r="K134" s="202">
        <f t="shared" si="1"/>
        <v>0</v>
      </c>
      <c r="L134" s="202">
        <v>0</v>
      </c>
      <c r="M134" s="202"/>
      <c r="N134" s="202">
        <v>0</v>
      </c>
      <c r="P134" s="424"/>
      <c r="Q134" s="424"/>
    </row>
    <row r="135" spans="1:17">
      <c r="A135" s="392">
        <v>630</v>
      </c>
      <c r="B135" s="239">
        <v>300</v>
      </c>
      <c r="C135" s="238">
        <v>200</v>
      </c>
      <c r="D135" s="238">
        <v>500</v>
      </c>
      <c r="E135" s="238">
        <v>0</v>
      </c>
      <c r="F135" s="238">
        <v>0</v>
      </c>
      <c r="G135" s="361" t="s">
        <v>3325</v>
      </c>
      <c r="H135" s="42" t="s">
        <v>330</v>
      </c>
      <c r="I135" s="44"/>
      <c r="J135" s="44"/>
      <c r="K135" s="202">
        <f t="shared" ref="K135:K198" si="2">+L135+M135</f>
        <v>0</v>
      </c>
      <c r="L135" s="202">
        <v>0</v>
      </c>
      <c r="M135" s="202"/>
      <c r="N135" s="202">
        <v>0</v>
      </c>
      <c r="P135" s="424"/>
      <c r="Q135" s="424"/>
    </row>
    <row r="136" spans="1:17">
      <c r="A136" s="392">
        <v>630</v>
      </c>
      <c r="B136" s="239">
        <v>300</v>
      </c>
      <c r="C136" s="238">
        <v>200</v>
      </c>
      <c r="D136" s="238">
        <v>550</v>
      </c>
      <c r="E136" s="238">
        <v>0</v>
      </c>
      <c r="F136" s="238">
        <v>0</v>
      </c>
      <c r="G136" s="361" t="s">
        <v>3326</v>
      </c>
      <c r="H136" s="42" t="s">
        <v>331</v>
      </c>
      <c r="I136" s="44"/>
      <c r="J136" s="44"/>
      <c r="K136" s="202">
        <f t="shared" si="2"/>
        <v>0</v>
      </c>
      <c r="L136" s="202">
        <v>0</v>
      </c>
      <c r="M136" s="202"/>
      <c r="N136" s="202">
        <v>0</v>
      </c>
      <c r="P136" s="424"/>
      <c r="Q136" s="424"/>
    </row>
    <row r="137" spans="1:17">
      <c r="A137" s="392">
        <v>630</v>
      </c>
      <c r="B137" s="239">
        <v>300</v>
      </c>
      <c r="C137" s="238">
        <v>200</v>
      </c>
      <c r="D137" s="238">
        <v>600</v>
      </c>
      <c r="E137" s="238">
        <v>0</v>
      </c>
      <c r="F137" s="238">
        <v>0</v>
      </c>
      <c r="G137" s="361" t="s">
        <v>3327</v>
      </c>
      <c r="H137" s="42" t="s">
        <v>332</v>
      </c>
      <c r="I137" s="44"/>
      <c r="J137" s="44"/>
      <c r="K137" s="202">
        <f t="shared" si="2"/>
        <v>0</v>
      </c>
      <c r="L137" s="202">
        <v>0</v>
      </c>
      <c r="M137" s="202"/>
      <c r="N137" s="202">
        <v>0</v>
      </c>
      <c r="P137" s="424"/>
      <c r="Q137" s="424"/>
    </row>
    <row r="138" spans="1:17">
      <c r="A138" s="392">
        <v>630</v>
      </c>
      <c r="B138" s="239">
        <v>300</v>
      </c>
      <c r="C138" s="238">
        <v>200</v>
      </c>
      <c r="D138" s="238">
        <v>650</v>
      </c>
      <c r="E138" s="238">
        <v>0</v>
      </c>
      <c r="F138" s="238">
        <v>0</v>
      </c>
      <c r="G138" s="361" t="s">
        <v>3328</v>
      </c>
      <c r="H138" s="42" t="s">
        <v>333</v>
      </c>
      <c r="I138" s="44"/>
      <c r="J138" s="44"/>
      <c r="K138" s="202">
        <f t="shared" si="2"/>
        <v>0</v>
      </c>
      <c r="L138" s="202">
        <v>0</v>
      </c>
      <c r="M138" s="202"/>
      <c r="N138" s="202">
        <v>0</v>
      </c>
      <c r="P138" s="424"/>
      <c r="Q138" s="424"/>
    </row>
    <row r="139" spans="1:17" ht="25.5">
      <c r="A139" s="392">
        <v>630</v>
      </c>
      <c r="B139" s="239">
        <v>300</v>
      </c>
      <c r="C139" s="238">
        <v>200</v>
      </c>
      <c r="D139" s="238">
        <v>700</v>
      </c>
      <c r="E139" s="238">
        <v>0</v>
      </c>
      <c r="F139" s="238">
        <v>0</v>
      </c>
      <c r="G139" s="361" t="s">
        <v>3329</v>
      </c>
      <c r="H139" s="42" t="s">
        <v>334</v>
      </c>
      <c r="I139" s="44"/>
      <c r="J139" s="44"/>
      <c r="K139" s="202">
        <f t="shared" si="2"/>
        <v>0</v>
      </c>
      <c r="L139" s="202">
        <v>0</v>
      </c>
      <c r="M139" s="202"/>
      <c r="N139" s="202">
        <v>0</v>
      </c>
      <c r="P139" s="424"/>
      <c r="Q139" s="424"/>
    </row>
    <row r="140" spans="1:17" ht="25.5">
      <c r="A140" s="392">
        <v>630</v>
      </c>
      <c r="B140" s="239">
        <v>300</v>
      </c>
      <c r="C140" s="238">
        <v>200</v>
      </c>
      <c r="D140" s="238">
        <v>750</v>
      </c>
      <c r="E140" s="238">
        <v>0</v>
      </c>
      <c r="F140" s="238">
        <v>0</v>
      </c>
      <c r="G140" s="363" t="s">
        <v>3330</v>
      </c>
      <c r="H140" s="40" t="s">
        <v>335</v>
      </c>
      <c r="I140" s="44"/>
      <c r="J140" s="44"/>
      <c r="K140" s="414"/>
      <c r="L140" s="414">
        <v>0</v>
      </c>
      <c r="M140" s="414"/>
      <c r="N140" s="414">
        <v>0</v>
      </c>
      <c r="P140" s="424"/>
      <c r="Q140" s="424"/>
    </row>
    <row r="141" spans="1:17">
      <c r="A141" s="392">
        <v>630</v>
      </c>
      <c r="B141" s="239">
        <v>300</v>
      </c>
      <c r="C141" s="238">
        <v>200</v>
      </c>
      <c r="D141" s="238">
        <v>750</v>
      </c>
      <c r="E141" s="238">
        <v>10</v>
      </c>
      <c r="F141" s="238">
        <v>0</v>
      </c>
      <c r="G141" s="361" t="s">
        <v>3331</v>
      </c>
      <c r="H141" s="42" t="s">
        <v>336</v>
      </c>
      <c r="I141" s="44"/>
      <c r="J141" s="44"/>
      <c r="K141" s="202">
        <f t="shared" si="2"/>
        <v>0</v>
      </c>
      <c r="L141" s="202">
        <v>0</v>
      </c>
      <c r="M141" s="202"/>
      <c r="N141" s="202">
        <v>0</v>
      </c>
      <c r="P141" s="424"/>
      <c r="Q141" s="424"/>
    </row>
    <row r="142" spans="1:17">
      <c r="A142" s="392">
        <v>630</v>
      </c>
      <c r="B142" s="239">
        <v>300</v>
      </c>
      <c r="C142" s="238">
        <v>200</v>
      </c>
      <c r="D142" s="238">
        <v>750</v>
      </c>
      <c r="E142" s="238">
        <v>20</v>
      </c>
      <c r="F142" s="238">
        <v>0</v>
      </c>
      <c r="G142" s="361" t="s">
        <v>3332</v>
      </c>
      <c r="H142" s="42" t="s">
        <v>337</v>
      </c>
      <c r="I142" s="44"/>
      <c r="J142" s="44"/>
      <c r="K142" s="202">
        <f t="shared" si="2"/>
        <v>0</v>
      </c>
      <c r="L142" s="202">
        <v>0</v>
      </c>
      <c r="M142" s="202"/>
      <c r="N142" s="202">
        <v>0</v>
      </c>
      <c r="P142" s="424"/>
      <c r="Q142" s="424"/>
    </row>
    <row r="143" spans="1:17">
      <c r="A143" s="392">
        <v>630</v>
      </c>
      <c r="B143" s="239">
        <v>300</v>
      </c>
      <c r="C143" s="238">
        <v>200</v>
      </c>
      <c r="D143" s="238">
        <v>900</v>
      </c>
      <c r="E143" s="238">
        <v>0</v>
      </c>
      <c r="F143" s="238">
        <v>0</v>
      </c>
      <c r="G143" s="361" t="s">
        <v>3333</v>
      </c>
      <c r="H143" s="42" t="s">
        <v>338</v>
      </c>
      <c r="I143" s="44"/>
      <c r="J143" s="44"/>
      <c r="K143" s="202">
        <f t="shared" si="2"/>
        <v>0</v>
      </c>
      <c r="L143" s="202">
        <v>0</v>
      </c>
      <c r="M143" s="202"/>
      <c r="N143" s="202">
        <v>0</v>
      </c>
      <c r="P143" s="424"/>
      <c r="Q143" s="424"/>
    </row>
    <row r="144" spans="1:17">
      <c r="A144" s="392">
        <v>630</v>
      </c>
      <c r="B144" s="239">
        <v>300</v>
      </c>
      <c r="C144" s="238">
        <v>300</v>
      </c>
      <c r="D144" s="238">
        <v>0</v>
      </c>
      <c r="E144" s="238">
        <v>0</v>
      </c>
      <c r="F144" s="238">
        <v>0</v>
      </c>
      <c r="G144" s="361" t="s">
        <v>3334</v>
      </c>
      <c r="H144" s="42" t="s">
        <v>339</v>
      </c>
      <c r="I144" s="44"/>
      <c r="J144" s="44"/>
      <c r="K144" s="202">
        <f t="shared" si="2"/>
        <v>0</v>
      </c>
      <c r="L144" s="202">
        <v>0</v>
      </c>
      <c r="M144" s="202"/>
      <c r="N144" s="202">
        <v>0</v>
      </c>
      <c r="P144" s="424"/>
      <c r="Q144" s="424"/>
    </row>
    <row r="145" spans="1:17">
      <c r="A145" s="392">
        <v>630</v>
      </c>
      <c r="B145" s="239">
        <v>300</v>
      </c>
      <c r="C145" s="238">
        <v>400</v>
      </c>
      <c r="D145" s="238">
        <v>0</v>
      </c>
      <c r="E145" s="238">
        <v>0</v>
      </c>
      <c r="F145" s="238">
        <v>0</v>
      </c>
      <c r="G145" s="361" t="s">
        <v>3335</v>
      </c>
      <c r="H145" s="42" t="s">
        <v>340</v>
      </c>
      <c r="I145" s="44"/>
      <c r="J145" s="44"/>
      <c r="K145" s="202">
        <f t="shared" si="2"/>
        <v>5303.82</v>
      </c>
      <c r="L145" s="202">
        <v>5303.82</v>
      </c>
      <c r="M145" s="202"/>
      <c r="N145" s="202">
        <v>0</v>
      </c>
      <c r="P145" s="424"/>
      <c r="Q145" s="424"/>
    </row>
    <row r="146" spans="1:17" ht="25.5">
      <c r="A146" s="392">
        <v>630</v>
      </c>
      <c r="B146" s="239">
        <v>300</v>
      </c>
      <c r="C146" s="238">
        <v>500</v>
      </c>
      <c r="D146" s="238">
        <v>0</v>
      </c>
      <c r="E146" s="238">
        <v>0</v>
      </c>
      <c r="F146" s="238">
        <v>0</v>
      </c>
      <c r="G146" s="361" t="s">
        <v>3336</v>
      </c>
      <c r="H146" s="42" t="s">
        <v>341</v>
      </c>
      <c r="I146" s="44"/>
      <c r="J146" s="44"/>
      <c r="K146" s="202">
        <f t="shared" si="2"/>
        <v>12516.34</v>
      </c>
      <c r="L146" s="202">
        <v>12516.34</v>
      </c>
      <c r="M146" s="202"/>
      <c r="N146" s="202">
        <v>13226.82</v>
      </c>
      <c r="P146" s="424"/>
      <c r="Q146" s="424"/>
    </row>
    <row r="147" spans="1:17">
      <c r="A147" s="392">
        <v>630</v>
      </c>
      <c r="B147" s="239">
        <v>300</v>
      </c>
      <c r="C147" s="238">
        <v>600</v>
      </c>
      <c r="D147" s="238">
        <v>0</v>
      </c>
      <c r="E147" s="238">
        <v>0</v>
      </c>
      <c r="F147" s="238">
        <v>0</v>
      </c>
      <c r="G147" s="361" t="s">
        <v>3337</v>
      </c>
      <c r="H147" s="42" t="s">
        <v>342</v>
      </c>
      <c r="I147" s="44"/>
      <c r="J147" s="44"/>
      <c r="K147" s="202">
        <f t="shared" si="2"/>
        <v>0</v>
      </c>
      <c r="L147" s="202">
        <v>0</v>
      </c>
      <c r="M147" s="202"/>
      <c r="N147" s="202">
        <v>0</v>
      </c>
      <c r="P147" s="424"/>
      <c r="Q147" s="424"/>
    </row>
    <row r="148" spans="1:17">
      <c r="A148" s="392">
        <v>630</v>
      </c>
      <c r="B148" s="239">
        <v>300</v>
      </c>
      <c r="C148" s="238">
        <v>700</v>
      </c>
      <c r="D148" s="238">
        <v>0</v>
      </c>
      <c r="E148" s="238">
        <v>0</v>
      </c>
      <c r="F148" s="238">
        <v>0</v>
      </c>
      <c r="G148" s="361" t="s">
        <v>3338</v>
      </c>
      <c r="H148" s="42" t="s">
        <v>343</v>
      </c>
      <c r="I148" s="44"/>
      <c r="J148" s="44"/>
      <c r="K148" s="202">
        <f t="shared" si="2"/>
        <v>131833.47</v>
      </c>
      <c r="L148" s="202">
        <v>131833.47</v>
      </c>
      <c r="M148" s="202"/>
      <c r="N148" s="202">
        <v>88855.74</v>
      </c>
      <c r="P148" s="424"/>
      <c r="Q148" s="424"/>
    </row>
    <row r="149" spans="1:17">
      <c r="A149" s="392">
        <v>630</v>
      </c>
      <c r="B149" s="239">
        <v>300</v>
      </c>
      <c r="C149" s="238">
        <v>800</v>
      </c>
      <c r="D149" s="238">
        <v>0</v>
      </c>
      <c r="E149" s="238">
        <v>0</v>
      </c>
      <c r="F149" s="238">
        <v>0</v>
      </c>
      <c r="G149" s="361" t="s">
        <v>3339</v>
      </c>
      <c r="H149" s="42" t="s">
        <v>344</v>
      </c>
      <c r="I149" s="44"/>
      <c r="J149" s="44"/>
      <c r="K149" s="202">
        <f t="shared" si="2"/>
        <v>0</v>
      </c>
      <c r="L149" s="202">
        <v>0</v>
      </c>
      <c r="M149" s="202"/>
      <c r="N149" s="202">
        <v>0</v>
      </c>
      <c r="P149" s="424"/>
      <c r="Q149" s="424"/>
    </row>
    <row r="150" spans="1:17">
      <c r="A150" s="392">
        <v>630</v>
      </c>
      <c r="B150" s="239">
        <v>300</v>
      </c>
      <c r="C150" s="238">
        <v>900</v>
      </c>
      <c r="D150" s="238">
        <v>0</v>
      </c>
      <c r="E150" s="238">
        <v>0</v>
      </c>
      <c r="F150" s="238">
        <v>0</v>
      </c>
      <c r="G150" s="363" t="s">
        <v>3340</v>
      </c>
      <c r="H150" s="40" t="s">
        <v>345</v>
      </c>
      <c r="I150" s="44"/>
      <c r="J150" s="44"/>
      <c r="K150" s="414"/>
      <c r="L150" s="414">
        <v>0</v>
      </c>
      <c r="M150" s="414"/>
      <c r="N150" s="414">
        <v>0</v>
      </c>
      <c r="P150" s="424"/>
      <c r="Q150" s="424"/>
    </row>
    <row r="151" spans="1:17">
      <c r="A151" s="392">
        <v>630</v>
      </c>
      <c r="B151" s="239">
        <v>300</v>
      </c>
      <c r="C151" s="238">
        <v>900</v>
      </c>
      <c r="D151" s="238">
        <v>100</v>
      </c>
      <c r="E151" s="238">
        <v>0</v>
      </c>
      <c r="F151" s="238">
        <v>0</v>
      </c>
      <c r="G151" s="361" t="s">
        <v>3341</v>
      </c>
      <c r="H151" s="42" t="s">
        <v>346</v>
      </c>
      <c r="I151" s="44"/>
      <c r="J151" s="44"/>
      <c r="K151" s="202">
        <f t="shared" si="2"/>
        <v>0</v>
      </c>
      <c r="L151" s="202">
        <v>0</v>
      </c>
      <c r="M151" s="202"/>
      <c r="N151" s="202">
        <v>0</v>
      </c>
      <c r="P151" s="424"/>
      <c r="Q151" s="424"/>
    </row>
    <row r="152" spans="1:17">
      <c r="A152" s="392">
        <v>630</v>
      </c>
      <c r="B152" s="239">
        <v>300</v>
      </c>
      <c r="C152" s="238">
        <v>900</v>
      </c>
      <c r="D152" s="238">
        <v>900</v>
      </c>
      <c r="E152" s="238">
        <v>0</v>
      </c>
      <c r="F152" s="238">
        <v>0</v>
      </c>
      <c r="G152" s="361" t="s">
        <v>3342</v>
      </c>
      <c r="H152" s="42" t="s">
        <v>347</v>
      </c>
      <c r="I152" s="44"/>
      <c r="J152" s="44"/>
      <c r="K152" s="202">
        <f t="shared" si="2"/>
        <v>26458.76</v>
      </c>
      <c r="L152" s="202">
        <v>26458.76</v>
      </c>
      <c r="M152" s="202"/>
      <c r="N152" s="202">
        <v>0</v>
      </c>
      <c r="P152" s="424"/>
      <c r="Q152" s="424"/>
    </row>
    <row r="153" spans="1:17" ht="25.5">
      <c r="A153" s="392">
        <v>630</v>
      </c>
      <c r="B153" s="239">
        <v>400</v>
      </c>
      <c r="C153" s="238">
        <v>0</v>
      </c>
      <c r="D153" s="239">
        <v>0</v>
      </c>
      <c r="E153" s="239">
        <v>0</v>
      </c>
      <c r="F153" s="239">
        <v>0</v>
      </c>
      <c r="G153" s="360" t="s">
        <v>3343</v>
      </c>
      <c r="H153" s="40" t="s">
        <v>348</v>
      </c>
      <c r="I153" s="41"/>
      <c r="J153" s="41"/>
      <c r="K153" s="414"/>
      <c r="L153" s="414">
        <v>0</v>
      </c>
      <c r="M153" s="414"/>
      <c r="N153" s="414">
        <v>0</v>
      </c>
      <c r="P153" s="424"/>
      <c r="Q153" s="424"/>
    </row>
    <row r="154" spans="1:17" ht="25.5">
      <c r="A154" s="392">
        <v>630</v>
      </c>
      <c r="B154" s="239">
        <v>400</v>
      </c>
      <c r="C154" s="239">
        <v>100</v>
      </c>
      <c r="D154" s="239">
        <v>0</v>
      </c>
      <c r="E154" s="239">
        <v>0</v>
      </c>
      <c r="F154" s="239">
        <v>0</v>
      </c>
      <c r="G154" s="362" t="s">
        <v>3344</v>
      </c>
      <c r="H154" s="42" t="s">
        <v>349</v>
      </c>
      <c r="I154" s="41" t="s">
        <v>350</v>
      </c>
      <c r="J154" s="41"/>
      <c r="K154" s="202">
        <f t="shared" si="2"/>
        <v>39430.300000000003</v>
      </c>
      <c r="L154" s="202">
        <v>39430.300000000003</v>
      </c>
      <c r="M154" s="202"/>
      <c r="N154" s="202">
        <v>128659.28</v>
      </c>
      <c r="P154" s="424"/>
      <c r="Q154" s="424"/>
    </row>
    <row r="155" spans="1:17" ht="25.5">
      <c r="A155" s="392">
        <v>630</v>
      </c>
      <c r="B155" s="239">
        <v>400</v>
      </c>
      <c r="C155" s="239">
        <v>200</v>
      </c>
      <c r="D155" s="239">
        <v>0</v>
      </c>
      <c r="E155" s="239">
        <v>0</v>
      </c>
      <c r="F155" s="239">
        <v>0</v>
      </c>
      <c r="G155" s="362" t="s">
        <v>3345</v>
      </c>
      <c r="H155" s="42" t="s">
        <v>351</v>
      </c>
      <c r="I155" s="41" t="s">
        <v>352</v>
      </c>
      <c r="J155" s="41"/>
      <c r="K155" s="202">
        <f t="shared" si="2"/>
        <v>871053.4</v>
      </c>
      <c r="L155" s="202">
        <v>871053.4</v>
      </c>
      <c r="M155" s="202"/>
      <c r="N155" s="202">
        <v>830638</v>
      </c>
      <c r="P155" s="424"/>
      <c r="Q155" s="424"/>
    </row>
    <row r="156" spans="1:17" ht="25.5">
      <c r="A156" s="392">
        <v>630</v>
      </c>
      <c r="B156" s="239">
        <v>400</v>
      </c>
      <c r="C156" s="239">
        <v>300</v>
      </c>
      <c r="D156" s="239">
        <v>0</v>
      </c>
      <c r="E156" s="239">
        <v>0</v>
      </c>
      <c r="F156" s="239">
        <v>0</v>
      </c>
      <c r="G156" s="362" t="s">
        <v>3346</v>
      </c>
      <c r="H156" s="42" t="s">
        <v>353</v>
      </c>
      <c r="I156" s="41" t="s">
        <v>354</v>
      </c>
      <c r="J156" s="41"/>
      <c r="K156" s="202">
        <f t="shared" si="2"/>
        <v>0</v>
      </c>
      <c r="L156" s="202">
        <v>0</v>
      </c>
      <c r="M156" s="202"/>
      <c r="N156" s="202">
        <v>0</v>
      </c>
      <c r="P156" s="424"/>
      <c r="Q156" s="424"/>
    </row>
    <row r="157" spans="1:17" ht="38.25">
      <c r="A157" s="392">
        <v>630</v>
      </c>
      <c r="B157" s="239">
        <v>400</v>
      </c>
      <c r="C157" s="239">
        <v>400</v>
      </c>
      <c r="D157" s="239">
        <v>0</v>
      </c>
      <c r="E157" s="239">
        <v>0</v>
      </c>
      <c r="F157" s="239">
        <v>0</v>
      </c>
      <c r="G157" s="362" t="s">
        <v>3347</v>
      </c>
      <c r="H157" s="42" t="s">
        <v>355</v>
      </c>
      <c r="I157" s="41" t="s">
        <v>356</v>
      </c>
      <c r="J157" s="41"/>
      <c r="K157" s="202">
        <f t="shared" si="2"/>
        <v>249442.65</v>
      </c>
      <c r="L157" s="202">
        <v>249442.65</v>
      </c>
      <c r="M157" s="202"/>
      <c r="N157" s="202">
        <v>200356.08</v>
      </c>
      <c r="P157" s="424"/>
      <c r="Q157" s="424"/>
    </row>
    <row r="158" spans="1:17" ht="38.25">
      <c r="A158" s="392">
        <v>630</v>
      </c>
      <c r="B158" s="239">
        <v>400</v>
      </c>
      <c r="C158" s="239">
        <v>500</v>
      </c>
      <c r="D158" s="239">
        <v>0</v>
      </c>
      <c r="E158" s="239">
        <v>0</v>
      </c>
      <c r="F158" s="239">
        <v>0</v>
      </c>
      <c r="G158" s="362" t="s">
        <v>3348</v>
      </c>
      <c r="H158" s="42" t="s">
        <v>357</v>
      </c>
      <c r="I158" s="41" t="s">
        <v>358</v>
      </c>
      <c r="J158" s="41" t="s">
        <v>1530</v>
      </c>
      <c r="K158" s="202">
        <f t="shared" si="2"/>
        <v>52456.59</v>
      </c>
      <c r="L158" s="202">
        <v>52456.59</v>
      </c>
      <c r="M158" s="202"/>
      <c r="N158" s="202">
        <v>40723.99</v>
      </c>
      <c r="P158" s="424"/>
      <c r="Q158" s="424"/>
    </row>
    <row r="159" spans="1:17">
      <c r="A159" s="392">
        <v>630</v>
      </c>
      <c r="B159" s="239">
        <v>400</v>
      </c>
      <c r="C159" s="239">
        <v>600</v>
      </c>
      <c r="D159" s="239">
        <v>0</v>
      </c>
      <c r="E159" s="239">
        <v>0</v>
      </c>
      <c r="F159" s="239">
        <v>0</v>
      </c>
      <c r="G159" s="362" t="s">
        <v>3349</v>
      </c>
      <c r="H159" s="42" t="s">
        <v>359</v>
      </c>
      <c r="I159" s="41" t="s">
        <v>360</v>
      </c>
      <c r="J159" s="41"/>
      <c r="K159" s="202">
        <f t="shared" si="2"/>
        <v>0</v>
      </c>
      <c r="L159" s="202">
        <v>0</v>
      </c>
      <c r="M159" s="202"/>
      <c r="N159" s="202">
        <v>8229.11</v>
      </c>
      <c r="P159" s="424"/>
      <c r="Q159" s="424"/>
    </row>
    <row r="160" spans="1:17" ht="25.5">
      <c r="A160" s="392">
        <v>630</v>
      </c>
      <c r="B160" s="239">
        <v>400</v>
      </c>
      <c r="C160" s="239">
        <v>700</v>
      </c>
      <c r="D160" s="239">
        <v>0</v>
      </c>
      <c r="E160" s="239">
        <v>0</v>
      </c>
      <c r="F160" s="239">
        <v>0</v>
      </c>
      <c r="G160" s="362" t="s">
        <v>3350</v>
      </c>
      <c r="H160" s="42" t="s">
        <v>361</v>
      </c>
      <c r="I160" s="41" t="s">
        <v>362</v>
      </c>
      <c r="J160" s="41" t="s">
        <v>1530</v>
      </c>
      <c r="K160" s="202">
        <f t="shared" si="2"/>
        <v>4982</v>
      </c>
      <c r="L160" s="202">
        <v>4982</v>
      </c>
      <c r="M160" s="202"/>
      <c r="N160" s="202">
        <v>0</v>
      </c>
      <c r="P160" s="424"/>
      <c r="Q160" s="424"/>
    </row>
    <row r="161" spans="1:17">
      <c r="A161" s="236">
        <v>640</v>
      </c>
      <c r="B161" s="237">
        <v>0</v>
      </c>
      <c r="C161" s="237">
        <v>0</v>
      </c>
      <c r="D161" s="237">
        <v>0</v>
      </c>
      <c r="E161" s="237">
        <v>0</v>
      </c>
      <c r="F161" s="237">
        <v>0</v>
      </c>
      <c r="G161" s="359">
        <v>640</v>
      </c>
      <c r="H161" s="38" t="s">
        <v>363</v>
      </c>
      <c r="I161" s="39"/>
      <c r="J161" s="39"/>
      <c r="K161" s="204"/>
      <c r="L161" s="204">
        <v>0</v>
      </c>
      <c r="M161" s="204"/>
      <c r="N161" s="204">
        <v>0</v>
      </c>
      <c r="P161" s="424"/>
      <c r="Q161" s="424"/>
    </row>
    <row r="162" spans="1:17">
      <c r="A162" s="392">
        <v>640</v>
      </c>
      <c r="B162" s="239">
        <v>100</v>
      </c>
      <c r="C162" s="239">
        <v>0</v>
      </c>
      <c r="D162" s="239">
        <v>0</v>
      </c>
      <c r="E162" s="239">
        <v>0</v>
      </c>
      <c r="F162" s="239">
        <v>0</v>
      </c>
      <c r="G162" s="362" t="s">
        <v>3351</v>
      </c>
      <c r="H162" s="42" t="s">
        <v>364</v>
      </c>
      <c r="I162" s="41" t="s">
        <v>365</v>
      </c>
      <c r="J162" s="41"/>
      <c r="K162" s="202">
        <f t="shared" si="2"/>
        <v>2538.8000000000002</v>
      </c>
      <c r="L162" s="202">
        <v>2538.8000000000002</v>
      </c>
      <c r="M162" s="202"/>
      <c r="N162" s="202">
        <v>3768.9</v>
      </c>
      <c r="P162" s="424"/>
      <c r="Q162" s="424"/>
    </row>
    <row r="163" spans="1:17">
      <c r="A163" s="392">
        <v>640</v>
      </c>
      <c r="B163" s="239">
        <v>200</v>
      </c>
      <c r="C163" s="239">
        <v>0</v>
      </c>
      <c r="D163" s="239">
        <v>0</v>
      </c>
      <c r="E163" s="239">
        <v>0</v>
      </c>
      <c r="F163" s="239">
        <v>0</v>
      </c>
      <c r="G163" s="360" t="s">
        <v>3352</v>
      </c>
      <c r="H163" s="40" t="s">
        <v>366</v>
      </c>
      <c r="I163" s="41"/>
      <c r="J163" s="41"/>
      <c r="K163" s="414"/>
      <c r="L163" s="414">
        <v>0</v>
      </c>
      <c r="M163" s="414"/>
      <c r="N163" s="414">
        <v>0</v>
      </c>
      <c r="P163" s="424"/>
      <c r="Q163" s="424"/>
    </row>
    <row r="164" spans="1:17" ht="38.25">
      <c r="A164" s="392">
        <v>640</v>
      </c>
      <c r="B164" s="239">
        <v>200</v>
      </c>
      <c r="C164" s="239">
        <v>100</v>
      </c>
      <c r="D164" s="239">
        <v>0</v>
      </c>
      <c r="E164" s="239">
        <v>0</v>
      </c>
      <c r="F164" s="239">
        <v>0</v>
      </c>
      <c r="G164" s="362" t="s">
        <v>3353</v>
      </c>
      <c r="H164" s="42" t="s">
        <v>367</v>
      </c>
      <c r="I164" s="41" t="s">
        <v>368</v>
      </c>
      <c r="J164" s="41"/>
      <c r="K164" s="202">
        <f t="shared" si="2"/>
        <v>0</v>
      </c>
      <c r="L164" s="202">
        <v>0</v>
      </c>
      <c r="M164" s="202"/>
      <c r="N164" s="202">
        <v>0</v>
      </c>
      <c r="P164" s="424"/>
      <c r="Q164" s="424"/>
    </row>
    <row r="165" spans="1:17" ht="25.5">
      <c r="A165" s="392">
        <v>640</v>
      </c>
      <c r="B165" s="239">
        <v>200</v>
      </c>
      <c r="C165" s="239">
        <v>200</v>
      </c>
      <c r="D165" s="239">
        <v>0</v>
      </c>
      <c r="E165" s="239">
        <v>0</v>
      </c>
      <c r="F165" s="239">
        <v>0</v>
      </c>
      <c r="G165" s="362" t="s">
        <v>3354</v>
      </c>
      <c r="H165" s="42" t="s">
        <v>369</v>
      </c>
      <c r="I165" s="41" t="s">
        <v>370</v>
      </c>
      <c r="J165" s="41"/>
      <c r="K165" s="202">
        <f t="shared" si="2"/>
        <v>0</v>
      </c>
      <c r="L165" s="202">
        <v>0</v>
      </c>
      <c r="M165" s="202"/>
      <c r="N165" s="202">
        <v>0</v>
      </c>
      <c r="P165" s="424"/>
      <c r="Q165" s="424"/>
    </row>
    <row r="166" spans="1:17" ht="25.5">
      <c r="A166" s="392">
        <v>640</v>
      </c>
      <c r="B166" s="239">
        <v>300</v>
      </c>
      <c r="C166" s="239">
        <v>0</v>
      </c>
      <c r="D166" s="239">
        <v>0</v>
      </c>
      <c r="E166" s="239">
        <v>0</v>
      </c>
      <c r="F166" s="239">
        <v>0</v>
      </c>
      <c r="G166" s="360" t="s">
        <v>3355</v>
      </c>
      <c r="H166" s="40" t="s">
        <v>371</v>
      </c>
      <c r="I166" s="41"/>
      <c r="J166" s="41"/>
      <c r="K166" s="414"/>
      <c r="L166" s="414">
        <v>0</v>
      </c>
      <c r="M166" s="414"/>
      <c r="N166" s="414">
        <v>0</v>
      </c>
      <c r="P166" s="424"/>
      <c r="Q166" s="424"/>
    </row>
    <row r="167" spans="1:17" ht="38.25">
      <c r="A167" s="392">
        <v>640</v>
      </c>
      <c r="B167" s="239">
        <v>300</v>
      </c>
      <c r="C167" s="239">
        <v>100</v>
      </c>
      <c r="D167" s="239">
        <v>0</v>
      </c>
      <c r="E167" s="239">
        <v>0</v>
      </c>
      <c r="F167" s="239">
        <v>0</v>
      </c>
      <c r="G167" s="362" t="s">
        <v>3356</v>
      </c>
      <c r="H167" s="42" t="s">
        <v>372</v>
      </c>
      <c r="I167" s="41" t="s">
        <v>373</v>
      </c>
      <c r="J167" s="41" t="s">
        <v>1530</v>
      </c>
      <c r="K167" s="202">
        <f t="shared" si="2"/>
        <v>45826.93</v>
      </c>
      <c r="L167" s="202">
        <v>45826.93</v>
      </c>
      <c r="M167" s="202"/>
      <c r="N167" s="202">
        <v>37063.71</v>
      </c>
      <c r="P167" s="424"/>
      <c r="Q167" s="424"/>
    </row>
    <row r="168" spans="1:17" ht="25.5">
      <c r="A168" s="392">
        <v>640</v>
      </c>
      <c r="B168" s="239">
        <v>300</v>
      </c>
      <c r="C168" s="239">
        <v>200</v>
      </c>
      <c r="D168" s="239">
        <v>0</v>
      </c>
      <c r="E168" s="239">
        <v>0</v>
      </c>
      <c r="F168" s="239">
        <v>0</v>
      </c>
      <c r="G168" s="362" t="s">
        <v>3357</v>
      </c>
      <c r="H168" s="42" t="s">
        <v>374</v>
      </c>
      <c r="I168" s="41" t="s">
        <v>375</v>
      </c>
      <c r="J168" s="41" t="s">
        <v>1530</v>
      </c>
      <c r="K168" s="202">
        <f t="shared" si="2"/>
        <v>0</v>
      </c>
      <c r="L168" s="202">
        <v>0</v>
      </c>
      <c r="M168" s="202"/>
      <c r="N168" s="202">
        <v>0</v>
      </c>
      <c r="P168" s="424"/>
      <c r="Q168" s="424"/>
    </row>
    <row r="169" spans="1:17" ht="25.5">
      <c r="A169" s="392">
        <v>640</v>
      </c>
      <c r="B169" s="239">
        <v>300</v>
      </c>
      <c r="C169" s="239">
        <v>300</v>
      </c>
      <c r="D169" s="239">
        <v>0</v>
      </c>
      <c r="E169" s="239">
        <v>0</v>
      </c>
      <c r="F169" s="239">
        <v>0</v>
      </c>
      <c r="G169" s="362" t="s">
        <v>3358</v>
      </c>
      <c r="H169" s="40" t="s">
        <v>376</v>
      </c>
      <c r="I169" s="41" t="s">
        <v>377</v>
      </c>
      <c r="J169" s="41" t="s">
        <v>1530</v>
      </c>
      <c r="K169" s="414"/>
      <c r="L169" s="414">
        <v>0</v>
      </c>
      <c r="M169" s="414"/>
      <c r="N169" s="414">
        <v>0</v>
      </c>
      <c r="P169" s="424"/>
      <c r="Q169" s="424"/>
    </row>
    <row r="170" spans="1:17">
      <c r="A170" s="392">
        <v>640</v>
      </c>
      <c r="B170" s="239">
        <v>300</v>
      </c>
      <c r="C170" s="239">
        <v>300</v>
      </c>
      <c r="D170" s="239">
        <v>100</v>
      </c>
      <c r="E170" s="239">
        <v>0</v>
      </c>
      <c r="F170" s="239">
        <v>0</v>
      </c>
      <c r="G170" s="362" t="s">
        <v>3359</v>
      </c>
      <c r="H170" s="42" t="s">
        <v>339</v>
      </c>
      <c r="I170" s="41"/>
      <c r="J170" s="41" t="s">
        <v>1530</v>
      </c>
      <c r="K170" s="202">
        <f t="shared" si="2"/>
        <v>284120.03999999998</v>
      </c>
      <c r="L170" s="202">
        <v>284120.03999999998</v>
      </c>
      <c r="M170" s="202"/>
      <c r="N170" s="202">
        <v>66</v>
      </c>
      <c r="P170" s="424"/>
      <c r="Q170" s="424"/>
    </row>
    <row r="171" spans="1:17">
      <c r="A171" s="392">
        <v>640</v>
      </c>
      <c r="B171" s="239">
        <v>300</v>
      </c>
      <c r="C171" s="239">
        <v>300</v>
      </c>
      <c r="D171" s="239">
        <v>200</v>
      </c>
      <c r="E171" s="239">
        <v>0</v>
      </c>
      <c r="F171" s="239">
        <v>0</v>
      </c>
      <c r="G171" s="362" t="s">
        <v>3360</v>
      </c>
      <c r="H171" s="42" t="s">
        <v>378</v>
      </c>
      <c r="I171" s="41"/>
      <c r="J171" s="41" t="s">
        <v>1530</v>
      </c>
      <c r="K171" s="202">
        <f t="shared" si="2"/>
        <v>0</v>
      </c>
      <c r="L171" s="202">
        <v>0</v>
      </c>
      <c r="M171" s="202"/>
      <c r="N171" s="202">
        <v>0</v>
      </c>
      <c r="P171" s="424"/>
      <c r="Q171" s="424"/>
    </row>
    <row r="172" spans="1:17">
      <c r="A172" s="392">
        <v>640</v>
      </c>
      <c r="B172" s="239">
        <v>300</v>
      </c>
      <c r="C172" s="239">
        <v>300</v>
      </c>
      <c r="D172" s="239">
        <v>900</v>
      </c>
      <c r="E172" s="239">
        <v>0</v>
      </c>
      <c r="F172" s="239">
        <v>0</v>
      </c>
      <c r="G172" s="362" t="s">
        <v>3361</v>
      </c>
      <c r="H172" s="42" t="s">
        <v>379</v>
      </c>
      <c r="I172" s="41"/>
      <c r="J172" s="41" t="s">
        <v>1530</v>
      </c>
      <c r="K172" s="202">
        <f t="shared" si="2"/>
        <v>81277.55</v>
      </c>
      <c r="L172" s="202">
        <v>81277.55</v>
      </c>
      <c r="M172" s="202"/>
      <c r="N172" s="202">
        <v>38168.26</v>
      </c>
      <c r="P172" s="424"/>
      <c r="Q172" s="424"/>
    </row>
    <row r="173" spans="1:17" ht="25.5">
      <c r="A173" s="392">
        <v>640</v>
      </c>
      <c r="B173" s="239">
        <v>300</v>
      </c>
      <c r="C173" s="239">
        <v>400</v>
      </c>
      <c r="D173" s="239">
        <v>0</v>
      </c>
      <c r="E173" s="239">
        <v>0</v>
      </c>
      <c r="F173" s="239">
        <v>0</v>
      </c>
      <c r="G173" s="360" t="s">
        <v>3362</v>
      </c>
      <c r="H173" s="40" t="s">
        <v>380</v>
      </c>
      <c r="I173" s="41" t="s">
        <v>381</v>
      </c>
      <c r="J173" s="41" t="s">
        <v>1530</v>
      </c>
      <c r="K173" s="202">
        <f t="shared" si="2"/>
        <v>0</v>
      </c>
      <c r="L173" s="202">
        <v>0</v>
      </c>
      <c r="M173" s="202"/>
      <c r="N173" s="202">
        <v>0</v>
      </c>
      <c r="P173" s="424"/>
      <c r="Q173" s="424"/>
    </row>
    <row r="174" spans="1:17">
      <c r="A174" s="392">
        <v>640</v>
      </c>
      <c r="B174" s="239">
        <v>400</v>
      </c>
      <c r="C174" s="239">
        <v>0</v>
      </c>
      <c r="D174" s="239">
        <v>0</v>
      </c>
      <c r="E174" s="239">
        <v>0</v>
      </c>
      <c r="F174" s="239">
        <v>0</v>
      </c>
      <c r="G174" s="360" t="s">
        <v>3363</v>
      </c>
      <c r="H174" s="40" t="s">
        <v>382</v>
      </c>
      <c r="I174" s="41" t="s">
        <v>383</v>
      </c>
      <c r="J174" s="41"/>
      <c r="K174" s="414"/>
      <c r="L174" s="414">
        <v>0</v>
      </c>
      <c r="M174" s="414"/>
      <c r="N174" s="414">
        <v>0</v>
      </c>
      <c r="P174" s="424"/>
      <c r="Q174" s="424"/>
    </row>
    <row r="175" spans="1:17" ht="38.25">
      <c r="A175" s="392">
        <v>640</v>
      </c>
      <c r="B175" s="239">
        <v>400</v>
      </c>
      <c r="C175" s="239">
        <v>100</v>
      </c>
      <c r="D175" s="239">
        <v>0</v>
      </c>
      <c r="E175" s="239">
        <v>0</v>
      </c>
      <c r="F175" s="239">
        <v>0</v>
      </c>
      <c r="G175" s="362" t="s">
        <v>3364</v>
      </c>
      <c r="H175" s="42" t="s">
        <v>384</v>
      </c>
      <c r="I175" s="41" t="s">
        <v>385</v>
      </c>
      <c r="J175" s="41"/>
      <c r="K175" s="202">
        <f t="shared" si="2"/>
        <v>0</v>
      </c>
      <c r="L175" s="202">
        <v>0</v>
      </c>
      <c r="M175" s="202"/>
      <c r="N175" s="202">
        <v>4184.45</v>
      </c>
      <c r="P175" s="424"/>
      <c r="Q175" s="424"/>
    </row>
    <row r="176" spans="1:17" ht="25.5">
      <c r="A176" s="392">
        <v>640</v>
      </c>
      <c r="B176" s="239">
        <v>400</v>
      </c>
      <c r="C176" s="239">
        <v>200</v>
      </c>
      <c r="D176" s="239">
        <v>0</v>
      </c>
      <c r="E176" s="239">
        <v>0</v>
      </c>
      <c r="F176" s="239">
        <v>0</v>
      </c>
      <c r="G176" s="362" t="s">
        <v>3365</v>
      </c>
      <c r="H176" s="42" t="s">
        <v>386</v>
      </c>
      <c r="I176" s="41" t="s">
        <v>387</v>
      </c>
      <c r="J176" s="41"/>
      <c r="K176" s="202">
        <f t="shared" si="2"/>
        <v>0</v>
      </c>
      <c r="L176" s="202">
        <v>0</v>
      </c>
      <c r="M176" s="202"/>
      <c r="N176" s="202">
        <v>0</v>
      </c>
      <c r="P176" s="424"/>
      <c r="Q176" s="424"/>
    </row>
    <row r="177" spans="1:17" ht="25.5">
      <c r="A177" s="392">
        <v>640</v>
      </c>
      <c r="B177" s="239">
        <v>400</v>
      </c>
      <c r="C177" s="239">
        <v>300</v>
      </c>
      <c r="D177" s="239">
        <v>0</v>
      </c>
      <c r="E177" s="239">
        <v>0</v>
      </c>
      <c r="F177" s="239">
        <v>0</v>
      </c>
      <c r="G177" s="360" t="s">
        <v>3366</v>
      </c>
      <c r="H177" s="40" t="s">
        <v>388</v>
      </c>
      <c r="I177" s="41" t="s">
        <v>389</v>
      </c>
      <c r="J177" s="41"/>
      <c r="K177" s="414"/>
      <c r="L177" s="414">
        <v>0</v>
      </c>
      <c r="M177" s="414"/>
      <c r="N177" s="414">
        <v>0</v>
      </c>
      <c r="P177" s="424"/>
      <c r="Q177" s="424"/>
    </row>
    <row r="178" spans="1:17">
      <c r="A178" s="392">
        <v>640</v>
      </c>
      <c r="B178" s="239">
        <v>400</v>
      </c>
      <c r="C178" s="239">
        <v>300</v>
      </c>
      <c r="D178" s="238">
        <v>100</v>
      </c>
      <c r="E178" s="238">
        <v>0</v>
      </c>
      <c r="F178" s="238">
        <v>0</v>
      </c>
      <c r="G178" s="361" t="s">
        <v>3367</v>
      </c>
      <c r="H178" s="42" t="s">
        <v>390</v>
      </c>
      <c r="I178" s="44"/>
      <c r="J178" s="44"/>
      <c r="K178" s="202">
        <f t="shared" si="2"/>
        <v>0</v>
      </c>
      <c r="L178" s="202">
        <v>0</v>
      </c>
      <c r="M178" s="202"/>
      <c r="N178" s="202">
        <v>0</v>
      </c>
      <c r="P178" s="424"/>
      <c r="Q178" s="424"/>
    </row>
    <row r="179" spans="1:17">
      <c r="A179" s="392">
        <v>640</v>
      </c>
      <c r="B179" s="239">
        <v>400</v>
      </c>
      <c r="C179" s="239">
        <v>300</v>
      </c>
      <c r="D179" s="238">
        <v>200</v>
      </c>
      <c r="E179" s="238">
        <v>0</v>
      </c>
      <c r="F179" s="238">
        <v>0</v>
      </c>
      <c r="G179" s="361" t="s">
        <v>3368</v>
      </c>
      <c r="H179" s="42" t="s">
        <v>391</v>
      </c>
      <c r="I179" s="44"/>
      <c r="J179" s="44"/>
      <c r="K179" s="202">
        <f t="shared" si="2"/>
        <v>0</v>
      </c>
      <c r="L179" s="202">
        <v>0</v>
      </c>
      <c r="M179" s="202"/>
      <c r="N179" s="202">
        <v>0</v>
      </c>
      <c r="P179" s="424"/>
      <c r="Q179" s="424"/>
    </row>
    <row r="180" spans="1:17">
      <c r="A180" s="392">
        <v>640</v>
      </c>
      <c r="B180" s="239">
        <v>400</v>
      </c>
      <c r="C180" s="239">
        <v>300</v>
      </c>
      <c r="D180" s="238">
        <v>300</v>
      </c>
      <c r="E180" s="238">
        <v>0</v>
      </c>
      <c r="F180" s="238">
        <v>0</v>
      </c>
      <c r="G180" s="361" t="s">
        <v>3369</v>
      </c>
      <c r="H180" s="42" t="s">
        <v>392</v>
      </c>
      <c r="I180" s="44"/>
      <c r="J180" s="44"/>
      <c r="K180" s="202">
        <f t="shared" si="2"/>
        <v>1169.82</v>
      </c>
      <c r="L180" s="202">
        <v>1169.82</v>
      </c>
      <c r="M180" s="202"/>
      <c r="N180" s="202">
        <v>36443.14</v>
      </c>
      <c r="P180" s="424"/>
      <c r="Q180" s="424"/>
    </row>
    <row r="181" spans="1:17" ht="25.5">
      <c r="A181" s="392">
        <v>640</v>
      </c>
      <c r="B181" s="239">
        <v>400</v>
      </c>
      <c r="C181" s="239">
        <v>300</v>
      </c>
      <c r="D181" s="238">
        <v>400</v>
      </c>
      <c r="E181" s="238">
        <v>0</v>
      </c>
      <c r="F181" s="238">
        <v>0</v>
      </c>
      <c r="G181" s="361" t="s">
        <v>3370</v>
      </c>
      <c r="H181" s="42" t="s">
        <v>393</v>
      </c>
      <c r="I181" s="44"/>
      <c r="J181" s="44"/>
      <c r="K181" s="202">
        <f t="shared" si="2"/>
        <v>0</v>
      </c>
      <c r="L181" s="202">
        <v>0</v>
      </c>
      <c r="M181" s="202"/>
      <c r="N181" s="202">
        <v>0</v>
      </c>
      <c r="P181" s="424"/>
      <c r="Q181" s="424"/>
    </row>
    <row r="182" spans="1:17">
      <c r="A182" s="392">
        <v>640</v>
      </c>
      <c r="B182" s="239">
        <v>400</v>
      </c>
      <c r="C182" s="239">
        <v>300</v>
      </c>
      <c r="D182" s="238">
        <v>500</v>
      </c>
      <c r="E182" s="238">
        <v>0</v>
      </c>
      <c r="F182" s="238">
        <v>0</v>
      </c>
      <c r="G182" s="361" t="s">
        <v>3371</v>
      </c>
      <c r="H182" s="42" t="s">
        <v>394</v>
      </c>
      <c r="I182" s="44"/>
      <c r="J182" s="44"/>
      <c r="K182" s="202">
        <f t="shared" si="2"/>
        <v>31122.84</v>
      </c>
      <c r="L182" s="202">
        <v>31122.84</v>
      </c>
      <c r="M182" s="202"/>
      <c r="N182" s="202">
        <v>22250.720000000001</v>
      </c>
      <c r="P182" s="424"/>
      <c r="Q182" s="424"/>
    </row>
    <row r="183" spans="1:17" ht="25.5">
      <c r="A183" s="392">
        <v>640</v>
      </c>
      <c r="B183" s="239">
        <v>400</v>
      </c>
      <c r="C183" s="239">
        <v>300</v>
      </c>
      <c r="D183" s="238">
        <v>900</v>
      </c>
      <c r="E183" s="238">
        <v>0</v>
      </c>
      <c r="F183" s="238">
        <v>0</v>
      </c>
      <c r="G183" s="361" t="s">
        <v>3372</v>
      </c>
      <c r="H183" s="42" t="s">
        <v>388</v>
      </c>
      <c r="I183" s="44"/>
      <c r="J183" s="44"/>
      <c r="K183" s="202">
        <f t="shared" si="2"/>
        <v>136582.42000000001</v>
      </c>
      <c r="L183" s="202">
        <v>136582.42000000001</v>
      </c>
      <c r="M183" s="202"/>
      <c r="N183" s="202">
        <v>50915.13</v>
      </c>
      <c r="P183" s="424"/>
      <c r="Q183" s="424"/>
    </row>
    <row r="184" spans="1:17">
      <c r="A184" s="392">
        <v>640</v>
      </c>
      <c r="B184" s="239">
        <v>500</v>
      </c>
      <c r="C184" s="239">
        <v>0</v>
      </c>
      <c r="D184" s="239">
        <v>0</v>
      </c>
      <c r="E184" s="239">
        <v>0</v>
      </c>
      <c r="F184" s="239">
        <v>0</v>
      </c>
      <c r="G184" s="360" t="s">
        <v>3373</v>
      </c>
      <c r="H184" s="40" t="s">
        <v>395</v>
      </c>
      <c r="I184" s="41" t="s">
        <v>396</v>
      </c>
      <c r="J184" s="41"/>
      <c r="K184" s="414"/>
      <c r="L184" s="414">
        <v>0</v>
      </c>
      <c r="M184" s="414"/>
      <c r="N184" s="414">
        <v>0</v>
      </c>
      <c r="P184" s="424"/>
      <c r="Q184" s="424"/>
    </row>
    <row r="185" spans="1:17">
      <c r="A185" s="392">
        <v>640</v>
      </c>
      <c r="B185" s="239">
        <v>500</v>
      </c>
      <c r="C185" s="239">
        <v>100</v>
      </c>
      <c r="D185" s="239">
        <v>0</v>
      </c>
      <c r="E185" s="239">
        <v>0</v>
      </c>
      <c r="F185" s="239">
        <v>0</v>
      </c>
      <c r="G185" s="360" t="s">
        <v>3374</v>
      </c>
      <c r="H185" s="40" t="s">
        <v>397</v>
      </c>
      <c r="I185" s="41" t="s">
        <v>398</v>
      </c>
      <c r="J185" s="41"/>
      <c r="K185" s="414"/>
      <c r="L185" s="414">
        <v>0</v>
      </c>
      <c r="M185" s="414"/>
      <c r="N185" s="414">
        <v>0</v>
      </c>
      <c r="P185" s="424"/>
      <c r="Q185" s="424"/>
    </row>
    <row r="186" spans="1:17" ht="25.5">
      <c r="A186" s="392">
        <v>640</v>
      </c>
      <c r="B186" s="239">
        <v>500</v>
      </c>
      <c r="C186" s="239">
        <v>100</v>
      </c>
      <c r="D186" s="239">
        <v>100</v>
      </c>
      <c r="E186" s="239">
        <v>0</v>
      </c>
      <c r="F186" s="239">
        <v>0</v>
      </c>
      <c r="G186" s="362" t="s">
        <v>3375</v>
      </c>
      <c r="H186" s="42" t="s">
        <v>399</v>
      </c>
      <c r="I186" s="41" t="s">
        <v>400</v>
      </c>
      <c r="J186" s="41"/>
      <c r="K186" s="202">
        <f t="shared" si="2"/>
        <v>0</v>
      </c>
      <c r="L186" s="202">
        <v>0</v>
      </c>
      <c r="M186" s="202"/>
      <c r="N186" s="202">
        <v>0</v>
      </c>
      <c r="P186" s="424"/>
      <c r="Q186" s="424"/>
    </row>
    <row r="187" spans="1:17" ht="25.5">
      <c r="A187" s="392">
        <v>640</v>
      </c>
      <c r="B187" s="239">
        <v>500</v>
      </c>
      <c r="C187" s="239">
        <v>100</v>
      </c>
      <c r="D187" s="239">
        <v>200</v>
      </c>
      <c r="E187" s="239">
        <v>0</v>
      </c>
      <c r="F187" s="239">
        <v>0</v>
      </c>
      <c r="G187" s="362" t="s">
        <v>3376</v>
      </c>
      <c r="H187" s="42" t="s">
        <v>401</v>
      </c>
      <c r="I187" s="41" t="s">
        <v>402</v>
      </c>
      <c r="J187" s="41"/>
      <c r="K187" s="202">
        <f t="shared" si="2"/>
        <v>157696.34</v>
      </c>
      <c r="L187" s="952">
        <v>157696.34</v>
      </c>
      <c r="M187" s="202"/>
      <c r="N187" s="202">
        <v>502631</v>
      </c>
      <c r="P187" s="424"/>
      <c r="Q187" s="424"/>
    </row>
    <row r="188" spans="1:17" ht="15">
      <c r="A188" s="392">
        <v>640</v>
      </c>
      <c r="B188" s="239">
        <v>500</v>
      </c>
      <c r="C188" s="239">
        <v>100</v>
      </c>
      <c r="D188" s="239">
        <v>300</v>
      </c>
      <c r="E188" s="239">
        <v>0</v>
      </c>
      <c r="F188" s="239">
        <v>0</v>
      </c>
      <c r="G188" s="362" t="s">
        <v>3377</v>
      </c>
      <c r="H188" s="42" t="s">
        <v>403</v>
      </c>
      <c r="I188" s="41" t="s">
        <v>404</v>
      </c>
      <c r="J188" s="41"/>
      <c r="K188" s="202">
        <f t="shared" si="2"/>
        <v>26843.59</v>
      </c>
      <c r="L188" s="952">
        <v>26843.59</v>
      </c>
      <c r="M188" s="202"/>
      <c r="N188" s="202">
        <v>177776.54</v>
      </c>
      <c r="P188" s="424"/>
      <c r="Q188" s="424"/>
    </row>
    <row r="189" spans="1:17">
      <c r="A189" s="392">
        <v>640</v>
      </c>
      <c r="B189" s="239">
        <v>500</v>
      </c>
      <c r="C189" s="239">
        <v>150</v>
      </c>
      <c r="D189" s="239">
        <v>0</v>
      </c>
      <c r="E189" s="239">
        <v>0</v>
      </c>
      <c r="F189" s="239">
        <v>0</v>
      </c>
      <c r="G189" s="362" t="s">
        <v>3378</v>
      </c>
      <c r="H189" s="42" t="s">
        <v>405</v>
      </c>
      <c r="I189" s="41" t="s">
        <v>406</v>
      </c>
      <c r="J189" s="41"/>
      <c r="K189" s="202">
        <f t="shared" si="2"/>
        <v>0</v>
      </c>
      <c r="L189" s="202">
        <v>0</v>
      </c>
      <c r="M189" s="202"/>
      <c r="N189" s="202">
        <v>0</v>
      </c>
      <c r="P189" s="424"/>
      <c r="Q189" s="424"/>
    </row>
    <row r="190" spans="1:17">
      <c r="A190" s="392">
        <v>640</v>
      </c>
      <c r="B190" s="239">
        <v>500</v>
      </c>
      <c r="C190" s="239">
        <v>200</v>
      </c>
      <c r="D190" s="239">
        <v>0</v>
      </c>
      <c r="E190" s="239">
        <v>0</v>
      </c>
      <c r="F190" s="239">
        <v>0</v>
      </c>
      <c r="G190" s="360" t="s">
        <v>3379</v>
      </c>
      <c r="H190" s="40" t="s">
        <v>407</v>
      </c>
      <c r="I190" s="41" t="s">
        <v>408</v>
      </c>
      <c r="J190" s="41"/>
      <c r="K190" s="414"/>
      <c r="L190" s="414">
        <v>0</v>
      </c>
      <c r="M190" s="414"/>
      <c r="N190" s="414">
        <v>0</v>
      </c>
      <c r="P190" s="424"/>
      <c r="Q190" s="424"/>
    </row>
    <row r="191" spans="1:17">
      <c r="A191" s="392">
        <v>640</v>
      </c>
      <c r="B191" s="239">
        <v>500</v>
      </c>
      <c r="C191" s="239">
        <v>200</v>
      </c>
      <c r="D191" s="238">
        <v>50</v>
      </c>
      <c r="E191" s="238">
        <v>0</v>
      </c>
      <c r="F191" s="238">
        <v>0</v>
      </c>
      <c r="G191" s="361" t="s">
        <v>3380</v>
      </c>
      <c r="H191" s="42" t="s">
        <v>409</v>
      </c>
      <c r="I191" s="44"/>
      <c r="J191" s="44"/>
      <c r="K191" s="202">
        <f t="shared" si="2"/>
        <v>0</v>
      </c>
      <c r="L191" s="202">
        <v>0</v>
      </c>
      <c r="M191" s="202"/>
      <c r="N191" s="202">
        <v>0</v>
      </c>
      <c r="P191" s="424"/>
      <c r="Q191" s="424"/>
    </row>
    <row r="192" spans="1:17" ht="25.5">
      <c r="A192" s="392">
        <v>640</v>
      </c>
      <c r="B192" s="239">
        <v>500</v>
      </c>
      <c r="C192" s="239">
        <v>200</v>
      </c>
      <c r="D192" s="238">
        <v>100</v>
      </c>
      <c r="E192" s="238">
        <v>0</v>
      </c>
      <c r="F192" s="238">
        <v>0</v>
      </c>
      <c r="G192" s="361" t="s">
        <v>3381</v>
      </c>
      <c r="H192" s="42" t="s">
        <v>410</v>
      </c>
      <c r="I192" s="44"/>
      <c r="J192" s="44"/>
      <c r="K192" s="202">
        <f t="shared" si="2"/>
        <v>33242.589999999997</v>
      </c>
      <c r="L192" s="202">
        <v>33242.589999999997</v>
      </c>
      <c r="M192" s="202"/>
      <c r="N192" s="202">
        <v>26575.66</v>
      </c>
      <c r="P192" s="424"/>
      <c r="Q192" s="424"/>
    </row>
    <row r="193" spans="1:17" ht="25.5">
      <c r="A193" s="392">
        <v>640</v>
      </c>
      <c r="B193" s="239">
        <v>500</v>
      </c>
      <c r="C193" s="239">
        <v>200</v>
      </c>
      <c r="D193" s="238">
        <v>150</v>
      </c>
      <c r="E193" s="238">
        <v>0</v>
      </c>
      <c r="F193" s="238">
        <v>0</v>
      </c>
      <c r="G193" s="361" t="s">
        <v>3382</v>
      </c>
      <c r="H193" s="42" t="s">
        <v>411</v>
      </c>
      <c r="I193" s="44"/>
      <c r="J193" s="44"/>
      <c r="K193" s="202">
        <f t="shared" si="2"/>
        <v>0</v>
      </c>
      <c r="L193" s="202">
        <v>0</v>
      </c>
      <c r="M193" s="202"/>
      <c r="N193" s="202">
        <v>0</v>
      </c>
      <c r="P193" s="424"/>
      <c r="Q193" s="424"/>
    </row>
    <row r="194" spans="1:17">
      <c r="A194" s="392">
        <v>640</v>
      </c>
      <c r="B194" s="239">
        <v>500</v>
      </c>
      <c r="C194" s="239">
        <v>200</v>
      </c>
      <c r="D194" s="238">
        <v>200</v>
      </c>
      <c r="E194" s="238">
        <v>0</v>
      </c>
      <c r="F194" s="238">
        <v>0</v>
      </c>
      <c r="G194" s="361" t="s">
        <v>3383</v>
      </c>
      <c r="H194" s="42" t="s">
        <v>412</v>
      </c>
      <c r="I194" s="44"/>
      <c r="J194" s="44"/>
      <c r="K194" s="202">
        <f t="shared" si="2"/>
        <v>16005</v>
      </c>
      <c r="L194" s="202">
        <v>16005</v>
      </c>
      <c r="M194" s="202"/>
      <c r="N194" s="202">
        <v>15243</v>
      </c>
      <c r="P194" s="424"/>
      <c r="Q194" s="424"/>
    </row>
    <row r="195" spans="1:17">
      <c r="A195" s="392">
        <v>640</v>
      </c>
      <c r="B195" s="239">
        <v>500</v>
      </c>
      <c r="C195" s="239">
        <v>200</v>
      </c>
      <c r="D195" s="238">
        <v>250</v>
      </c>
      <c r="E195" s="238">
        <v>0</v>
      </c>
      <c r="F195" s="238">
        <v>0</v>
      </c>
      <c r="G195" s="361" t="s">
        <v>3384</v>
      </c>
      <c r="H195" s="42" t="s">
        <v>413</v>
      </c>
      <c r="I195" s="44"/>
      <c r="J195" s="44"/>
      <c r="K195" s="202">
        <f t="shared" si="2"/>
        <v>0</v>
      </c>
      <c r="L195" s="202">
        <v>0</v>
      </c>
      <c r="M195" s="202"/>
      <c r="N195" s="202">
        <v>0</v>
      </c>
      <c r="P195" s="424"/>
      <c r="Q195" s="424"/>
    </row>
    <row r="196" spans="1:17">
      <c r="A196" s="392">
        <v>640</v>
      </c>
      <c r="B196" s="239">
        <v>500</v>
      </c>
      <c r="C196" s="239">
        <v>200</v>
      </c>
      <c r="D196" s="238">
        <v>300</v>
      </c>
      <c r="E196" s="238">
        <v>0</v>
      </c>
      <c r="F196" s="238">
        <v>0</v>
      </c>
      <c r="G196" s="361" t="s">
        <v>3385</v>
      </c>
      <c r="H196" s="42" t="s">
        <v>414</v>
      </c>
      <c r="I196" s="44"/>
      <c r="J196" s="44"/>
      <c r="K196" s="202">
        <f t="shared" si="2"/>
        <v>23629.1</v>
      </c>
      <c r="L196" s="202">
        <v>23629.1</v>
      </c>
      <c r="M196" s="202"/>
      <c r="N196" s="202">
        <v>2509.69</v>
      </c>
      <c r="P196" s="424"/>
      <c r="Q196" s="424"/>
    </row>
    <row r="197" spans="1:17">
      <c r="A197" s="392">
        <v>640</v>
      </c>
      <c r="B197" s="239">
        <v>500</v>
      </c>
      <c r="C197" s="239">
        <v>200</v>
      </c>
      <c r="D197" s="238">
        <v>350</v>
      </c>
      <c r="E197" s="238">
        <v>0</v>
      </c>
      <c r="F197" s="238">
        <v>0</v>
      </c>
      <c r="G197" s="361" t="s">
        <v>3386</v>
      </c>
      <c r="H197" s="42" t="s">
        <v>415</v>
      </c>
      <c r="I197" s="44"/>
      <c r="J197" s="44"/>
      <c r="K197" s="202">
        <f t="shared" si="2"/>
        <v>0</v>
      </c>
      <c r="L197" s="202">
        <v>0</v>
      </c>
      <c r="M197" s="202"/>
      <c r="N197" s="202">
        <v>0</v>
      </c>
      <c r="P197" s="424"/>
      <c r="Q197" s="424"/>
    </row>
    <row r="198" spans="1:17">
      <c r="A198" s="392">
        <v>640</v>
      </c>
      <c r="B198" s="239">
        <v>500</v>
      </c>
      <c r="C198" s="239">
        <v>200</v>
      </c>
      <c r="D198" s="238">
        <v>400</v>
      </c>
      <c r="E198" s="238">
        <v>0</v>
      </c>
      <c r="F198" s="238">
        <v>0</v>
      </c>
      <c r="G198" s="361" t="s">
        <v>3387</v>
      </c>
      <c r="H198" s="42" t="s">
        <v>416</v>
      </c>
      <c r="I198" s="44"/>
      <c r="J198" s="44"/>
      <c r="K198" s="202">
        <f t="shared" si="2"/>
        <v>8202.98</v>
      </c>
      <c r="L198" s="202">
        <v>8202.98</v>
      </c>
      <c r="M198" s="202"/>
      <c r="N198" s="202">
        <v>6488.7</v>
      </c>
      <c r="P198" s="424"/>
      <c r="Q198" s="424"/>
    </row>
    <row r="199" spans="1:17">
      <c r="A199" s="392">
        <v>640</v>
      </c>
      <c r="B199" s="239">
        <v>500</v>
      </c>
      <c r="C199" s="239">
        <v>200</v>
      </c>
      <c r="D199" s="238">
        <v>450</v>
      </c>
      <c r="E199" s="238">
        <v>0</v>
      </c>
      <c r="F199" s="238">
        <v>0</v>
      </c>
      <c r="G199" s="361" t="s">
        <v>3388</v>
      </c>
      <c r="H199" s="42" t="s">
        <v>417</v>
      </c>
      <c r="I199" s="44"/>
      <c r="J199" s="44"/>
      <c r="K199" s="202">
        <f t="shared" ref="K199:K261" si="3">+L199+M199</f>
        <v>681.78</v>
      </c>
      <c r="L199" s="202">
        <v>681.78</v>
      </c>
      <c r="M199" s="202"/>
      <c r="N199" s="202">
        <v>1415.21</v>
      </c>
      <c r="P199" s="424"/>
      <c r="Q199" s="424"/>
    </row>
    <row r="200" spans="1:17" ht="25.5">
      <c r="A200" s="392">
        <v>640</v>
      </c>
      <c r="B200" s="239">
        <v>500</v>
      </c>
      <c r="C200" s="239">
        <v>200</v>
      </c>
      <c r="D200" s="238">
        <v>500</v>
      </c>
      <c r="E200" s="238">
        <v>0</v>
      </c>
      <c r="F200" s="238">
        <v>0</v>
      </c>
      <c r="G200" s="361" t="s">
        <v>3389</v>
      </c>
      <c r="H200" s="42" t="s">
        <v>418</v>
      </c>
      <c r="I200" s="44"/>
      <c r="J200" s="44"/>
      <c r="K200" s="202">
        <f t="shared" si="3"/>
        <v>30031.88</v>
      </c>
      <c r="L200" s="202">
        <v>30031.88</v>
      </c>
      <c r="M200" s="202"/>
      <c r="N200" s="202">
        <v>26204.83</v>
      </c>
      <c r="P200" s="424"/>
      <c r="Q200" s="424"/>
    </row>
    <row r="201" spans="1:17" ht="25.5">
      <c r="A201" s="392">
        <v>640</v>
      </c>
      <c r="B201" s="239">
        <v>500</v>
      </c>
      <c r="C201" s="239">
        <v>200</v>
      </c>
      <c r="D201" s="238">
        <v>550</v>
      </c>
      <c r="E201" s="238">
        <v>0</v>
      </c>
      <c r="F201" s="238">
        <v>0</v>
      </c>
      <c r="G201" s="361" t="s">
        <v>3390</v>
      </c>
      <c r="H201" s="42" t="s">
        <v>419</v>
      </c>
      <c r="I201" s="44"/>
      <c r="J201" s="44"/>
      <c r="K201" s="202">
        <f t="shared" si="3"/>
        <v>3915</v>
      </c>
      <c r="L201" s="202">
        <v>3915</v>
      </c>
      <c r="M201" s="202"/>
      <c r="N201" s="202">
        <v>0</v>
      </c>
      <c r="P201" s="424"/>
      <c r="Q201" s="424"/>
    </row>
    <row r="202" spans="1:17">
      <c r="A202" s="392">
        <v>640</v>
      </c>
      <c r="B202" s="239">
        <v>500</v>
      </c>
      <c r="C202" s="239">
        <v>200</v>
      </c>
      <c r="D202" s="238">
        <v>600</v>
      </c>
      <c r="E202" s="238">
        <v>0</v>
      </c>
      <c r="F202" s="238">
        <v>0</v>
      </c>
      <c r="G202" s="361" t="s">
        <v>3391</v>
      </c>
      <c r="H202" s="42" t="s">
        <v>420</v>
      </c>
      <c r="I202" s="44"/>
      <c r="J202" s="44"/>
      <c r="K202" s="202">
        <f t="shared" si="3"/>
        <v>0</v>
      </c>
      <c r="L202" s="202">
        <v>0</v>
      </c>
      <c r="M202" s="202"/>
      <c r="N202" s="202">
        <v>0</v>
      </c>
      <c r="P202" s="424"/>
      <c r="Q202" s="424"/>
    </row>
    <row r="203" spans="1:17">
      <c r="A203" s="392">
        <v>640</v>
      </c>
      <c r="B203" s="239">
        <v>500</v>
      </c>
      <c r="C203" s="239">
        <v>200</v>
      </c>
      <c r="D203" s="238">
        <v>900</v>
      </c>
      <c r="E203" s="238">
        <v>0</v>
      </c>
      <c r="F203" s="238">
        <v>0</v>
      </c>
      <c r="G203" s="361" t="s">
        <v>3392</v>
      </c>
      <c r="H203" s="42" t="s">
        <v>407</v>
      </c>
      <c r="I203" s="44"/>
      <c r="J203" s="44"/>
      <c r="K203" s="202">
        <f t="shared" si="3"/>
        <v>9545.24</v>
      </c>
      <c r="L203" s="202">
        <v>9545.24</v>
      </c>
      <c r="M203" s="202"/>
      <c r="N203" s="202">
        <v>19222.68</v>
      </c>
      <c r="P203" s="424"/>
      <c r="Q203" s="424"/>
    </row>
    <row r="204" spans="1:17" ht="25.5">
      <c r="A204" s="236">
        <v>650</v>
      </c>
      <c r="B204" s="237">
        <v>0</v>
      </c>
      <c r="C204" s="237">
        <v>0</v>
      </c>
      <c r="D204" s="237">
        <v>0</v>
      </c>
      <c r="E204" s="237">
        <v>0</v>
      </c>
      <c r="F204" s="237">
        <v>0</v>
      </c>
      <c r="G204" s="359">
        <v>650</v>
      </c>
      <c r="H204" s="38" t="s">
        <v>421</v>
      </c>
      <c r="I204" s="39" t="s">
        <v>422</v>
      </c>
      <c r="J204" s="39"/>
      <c r="K204" s="204"/>
      <c r="L204" s="204">
        <v>0</v>
      </c>
      <c r="M204" s="204"/>
      <c r="N204" s="204">
        <v>0</v>
      </c>
      <c r="P204" s="424"/>
      <c r="Q204" s="424"/>
    </row>
    <row r="205" spans="1:17" ht="38.25">
      <c r="A205" s="392">
        <v>650</v>
      </c>
      <c r="B205" s="239">
        <v>100</v>
      </c>
      <c r="C205" s="239">
        <v>0</v>
      </c>
      <c r="D205" s="239">
        <v>0</v>
      </c>
      <c r="E205" s="239">
        <v>0</v>
      </c>
      <c r="F205" s="239">
        <v>0</v>
      </c>
      <c r="G205" s="362" t="s">
        <v>3393</v>
      </c>
      <c r="H205" s="42" t="s">
        <v>2104</v>
      </c>
      <c r="I205" s="41" t="s">
        <v>423</v>
      </c>
      <c r="J205" s="41"/>
      <c r="K205" s="202">
        <f t="shared" si="3"/>
        <v>1792592.55</v>
      </c>
      <c r="L205" s="202">
        <v>1792592.55</v>
      </c>
      <c r="M205" s="202"/>
      <c r="N205" s="202">
        <v>1657734.1</v>
      </c>
      <c r="P205" s="424"/>
      <c r="Q205" s="424"/>
    </row>
    <row r="206" spans="1:17" ht="25.5">
      <c r="A206" s="392">
        <v>650</v>
      </c>
      <c r="B206" s="239">
        <v>200</v>
      </c>
      <c r="C206" s="239">
        <v>0</v>
      </c>
      <c r="D206" s="239">
        <v>0</v>
      </c>
      <c r="E206" s="239">
        <v>0</v>
      </c>
      <c r="F206" s="239">
        <v>0</v>
      </c>
      <c r="G206" s="362" t="s">
        <v>3394</v>
      </c>
      <c r="H206" s="42" t="s">
        <v>424</v>
      </c>
      <c r="I206" s="41" t="s">
        <v>425</v>
      </c>
      <c r="J206" s="41"/>
      <c r="K206" s="202">
        <f t="shared" si="3"/>
        <v>15665.4</v>
      </c>
      <c r="L206" s="202">
        <v>15665.4</v>
      </c>
      <c r="M206" s="202"/>
      <c r="N206" s="202">
        <v>14614.1</v>
      </c>
      <c r="P206" s="424"/>
      <c r="Q206" s="424"/>
    </row>
    <row r="207" spans="1:17" ht="25.5">
      <c r="A207" s="392">
        <v>650</v>
      </c>
      <c r="B207" s="239">
        <v>300</v>
      </c>
      <c r="C207" s="239">
        <v>0</v>
      </c>
      <c r="D207" s="239">
        <v>0</v>
      </c>
      <c r="E207" s="239">
        <v>0</v>
      </c>
      <c r="F207" s="239">
        <v>0</v>
      </c>
      <c r="G207" s="362" t="s">
        <v>3395</v>
      </c>
      <c r="H207" s="42" t="s">
        <v>426</v>
      </c>
      <c r="I207" s="41" t="s">
        <v>427</v>
      </c>
      <c r="J207" s="41"/>
      <c r="K207" s="202">
        <f t="shared" si="3"/>
        <v>0</v>
      </c>
      <c r="L207" s="202">
        <v>0</v>
      </c>
      <c r="M207" s="202"/>
      <c r="N207" s="202">
        <v>0</v>
      </c>
      <c r="P207" s="424"/>
      <c r="Q207" s="424"/>
    </row>
    <row r="208" spans="1:17">
      <c r="A208" s="236">
        <v>660</v>
      </c>
      <c r="B208" s="237">
        <v>0</v>
      </c>
      <c r="C208" s="237">
        <v>0</v>
      </c>
      <c r="D208" s="237">
        <v>0</v>
      </c>
      <c r="E208" s="237">
        <v>0</v>
      </c>
      <c r="F208" s="237">
        <v>0</v>
      </c>
      <c r="G208" s="359">
        <v>660</v>
      </c>
      <c r="H208" s="38" t="s">
        <v>428</v>
      </c>
      <c r="I208" s="39" t="s">
        <v>429</v>
      </c>
      <c r="J208" s="39"/>
      <c r="K208" s="204"/>
      <c r="L208" s="204">
        <v>0</v>
      </c>
      <c r="M208" s="204"/>
      <c r="N208" s="204">
        <v>0</v>
      </c>
      <c r="P208" s="424"/>
      <c r="Q208" s="424"/>
    </row>
    <row r="209" spans="1:17" ht="25.5">
      <c r="A209" s="392">
        <v>660</v>
      </c>
      <c r="B209" s="239">
        <v>100</v>
      </c>
      <c r="C209" s="239">
        <v>0</v>
      </c>
      <c r="D209" s="239">
        <v>0</v>
      </c>
      <c r="E209" s="239">
        <v>0</v>
      </c>
      <c r="F209" s="239">
        <v>0</v>
      </c>
      <c r="G209" s="362" t="s">
        <v>3396</v>
      </c>
      <c r="H209" s="42" t="s">
        <v>430</v>
      </c>
      <c r="I209" s="41" t="s">
        <v>431</v>
      </c>
      <c r="J209" s="41"/>
      <c r="K209" s="202">
        <f t="shared" si="3"/>
        <v>567987.67000000004</v>
      </c>
      <c r="L209" s="202">
        <v>567987.67000000004</v>
      </c>
      <c r="M209" s="202"/>
      <c r="N209" s="202">
        <v>555733.72</v>
      </c>
      <c r="P209" s="424"/>
      <c r="Q209" s="424"/>
    </row>
    <row r="210" spans="1:17" ht="25.5">
      <c r="A210" s="392">
        <v>660</v>
      </c>
      <c r="B210" s="239">
        <v>200</v>
      </c>
      <c r="C210" s="239">
        <v>0</v>
      </c>
      <c r="D210" s="239">
        <v>0</v>
      </c>
      <c r="E210" s="239">
        <v>0</v>
      </c>
      <c r="F210" s="239">
        <v>0</v>
      </c>
      <c r="G210" s="362" t="s">
        <v>3397</v>
      </c>
      <c r="H210" s="42" t="s">
        <v>432</v>
      </c>
      <c r="I210" s="41" t="s">
        <v>433</v>
      </c>
      <c r="J210" s="41"/>
      <c r="K210" s="202">
        <f t="shared" si="3"/>
        <v>2100716.1</v>
      </c>
      <c r="L210" s="202">
        <v>2100716.1</v>
      </c>
      <c r="M210" s="202"/>
      <c r="N210" s="202">
        <v>1737503.01</v>
      </c>
      <c r="P210" s="424"/>
      <c r="Q210" s="424"/>
    </row>
    <row r="211" spans="1:17" ht="25.5">
      <c r="A211" s="392">
        <v>660</v>
      </c>
      <c r="B211" s="239">
        <v>300</v>
      </c>
      <c r="C211" s="239">
        <v>0</v>
      </c>
      <c r="D211" s="239">
        <v>0</v>
      </c>
      <c r="E211" s="239">
        <v>0</v>
      </c>
      <c r="F211" s="239">
        <v>0</v>
      </c>
      <c r="G211" s="362" t="s">
        <v>3398</v>
      </c>
      <c r="H211" s="42" t="s">
        <v>434</v>
      </c>
      <c r="I211" s="41" t="s">
        <v>435</v>
      </c>
      <c r="J211" s="41"/>
      <c r="K211" s="202">
        <f t="shared" si="3"/>
        <v>182378.96</v>
      </c>
      <c r="L211" s="202">
        <v>182378.96</v>
      </c>
      <c r="M211" s="202"/>
      <c r="N211" s="202">
        <v>185533.9</v>
      </c>
      <c r="P211" s="424"/>
      <c r="Q211" s="424"/>
    </row>
    <row r="212" spans="1:17" ht="25.5">
      <c r="A212" s="392">
        <v>660</v>
      </c>
      <c r="B212" s="239">
        <v>400</v>
      </c>
      <c r="C212" s="239">
        <v>0</v>
      </c>
      <c r="D212" s="239">
        <v>0</v>
      </c>
      <c r="E212" s="239">
        <v>0</v>
      </c>
      <c r="F212" s="239">
        <v>0</v>
      </c>
      <c r="G212" s="362" t="s">
        <v>3399</v>
      </c>
      <c r="H212" s="42" t="s">
        <v>436</v>
      </c>
      <c r="I212" s="41" t="s">
        <v>437</v>
      </c>
      <c r="J212" s="41"/>
      <c r="K212" s="202">
        <f t="shared" si="3"/>
        <v>4266.84</v>
      </c>
      <c r="L212" s="202">
        <v>4266.84</v>
      </c>
      <c r="M212" s="202"/>
      <c r="N212" s="202">
        <v>0</v>
      </c>
      <c r="P212" s="424"/>
      <c r="Q212" s="424"/>
    </row>
    <row r="213" spans="1:17" ht="25.5">
      <c r="A213" s="392">
        <v>660</v>
      </c>
      <c r="B213" s="239">
        <v>500</v>
      </c>
      <c r="C213" s="239">
        <v>0</v>
      </c>
      <c r="D213" s="239">
        <v>0</v>
      </c>
      <c r="E213" s="239">
        <v>0</v>
      </c>
      <c r="F213" s="239">
        <v>0</v>
      </c>
      <c r="G213" s="362" t="s">
        <v>3400</v>
      </c>
      <c r="H213" s="42" t="s">
        <v>438</v>
      </c>
      <c r="I213" s="41" t="s">
        <v>439</v>
      </c>
      <c r="J213" s="41"/>
      <c r="K213" s="202">
        <f t="shared" si="3"/>
        <v>3016.11</v>
      </c>
      <c r="L213" s="202">
        <v>3016.11</v>
      </c>
      <c r="M213" s="202"/>
      <c r="N213" s="202">
        <v>16467.14</v>
      </c>
      <c r="P213" s="424"/>
      <c r="Q213" s="424"/>
    </row>
    <row r="214" spans="1:17" ht="25.5">
      <c r="A214" s="392">
        <v>660</v>
      </c>
      <c r="B214" s="239">
        <v>600</v>
      </c>
      <c r="C214" s="239">
        <v>0</v>
      </c>
      <c r="D214" s="239">
        <v>0</v>
      </c>
      <c r="E214" s="239">
        <v>0</v>
      </c>
      <c r="F214" s="239">
        <v>0</v>
      </c>
      <c r="G214" s="362" t="s">
        <v>3401</v>
      </c>
      <c r="H214" s="42" t="s">
        <v>440</v>
      </c>
      <c r="I214" s="41" t="s">
        <v>441</v>
      </c>
      <c r="J214" s="41"/>
      <c r="K214" s="202">
        <f t="shared" si="3"/>
        <v>649625.23</v>
      </c>
      <c r="L214" s="202">
        <v>649625.23</v>
      </c>
      <c r="M214" s="202"/>
      <c r="N214" s="202">
        <v>523277.91</v>
      </c>
      <c r="P214" s="424"/>
      <c r="Q214" s="424"/>
    </row>
    <row r="215" spans="1:17" ht="25.5">
      <c r="A215" s="241">
        <v>670</v>
      </c>
      <c r="B215" s="242">
        <v>0</v>
      </c>
      <c r="C215" s="242">
        <v>0</v>
      </c>
      <c r="D215" s="242">
        <v>0</v>
      </c>
      <c r="E215" s="242">
        <v>0</v>
      </c>
      <c r="F215" s="242">
        <v>0</v>
      </c>
      <c r="G215" s="364" t="s">
        <v>3402</v>
      </c>
      <c r="H215" s="51" t="s">
        <v>29</v>
      </c>
      <c r="I215" s="154" t="s">
        <v>442</v>
      </c>
      <c r="J215" s="154"/>
      <c r="K215" s="208">
        <f t="shared" si="3"/>
        <v>27540.19</v>
      </c>
      <c r="L215" s="208">
        <v>27540.19</v>
      </c>
      <c r="M215" s="208"/>
      <c r="N215" s="208">
        <v>7864.95</v>
      </c>
      <c r="P215" s="424"/>
      <c r="Q215" s="424"/>
    </row>
    <row r="216" spans="1:17">
      <c r="A216" s="236">
        <v>680</v>
      </c>
      <c r="B216" s="237">
        <v>0</v>
      </c>
      <c r="C216" s="237">
        <v>0</v>
      </c>
      <c r="D216" s="237">
        <v>0</v>
      </c>
      <c r="E216" s="237">
        <v>0</v>
      </c>
      <c r="F216" s="237">
        <v>0</v>
      </c>
      <c r="G216" s="359">
        <v>680</v>
      </c>
      <c r="H216" s="38" t="s">
        <v>30</v>
      </c>
      <c r="I216" s="39" t="s">
        <v>443</v>
      </c>
      <c r="J216" s="39"/>
      <c r="K216" s="204"/>
      <c r="L216" s="204">
        <v>0</v>
      </c>
      <c r="M216" s="204"/>
      <c r="N216" s="204">
        <v>0</v>
      </c>
      <c r="P216" s="424"/>
      <c r="Q216" s="424"/>
    </row>
    <row r="217" spans="1:17">
      <c r="A217" s="392">
        <v>680</v>
      </c>
      <c r="B217" s="239">
        <v>100</v>
      </c>
      <c r="C217" s="239">
        <v>0</v>
      </c>
      <c r="D217" s="239">
        <v>0</v>
      </c>
      <c r="E217" s="239">
        <v>0</v>
      </c>
      <c r="F217" s="239">
        <v>0</v>
      </c>
      <c r="G217" s="360" t="s">
        <v>3403</v>
      </c>
      <c r="H217" s="40" t="s">
        <v>444</v>
      </c>
      <c r="I217" s="41" t="s">
        <v>445</v>
      </c>
      <c r="J217" s="41"/>
      <c r="K217" s="414"/>
      <c r="L217" s="414">
        <v>0</v>
      </c>
      <c r="M217" s="414"/>
      <c r="N217" s="414">
        <v>0</v>
      </c>
      <c r="P217" s="424"/>
      <c r="Q217" s="424"/>
    </row>
    <row r="218" spans="1:17">
      <c r="A218" s="392">
        <v>680</v>
      </c>
      <c r="B218" s="239">
        <v>100</v>
      </c>
      <c r="C218" s="238">
        <v>100</v>
      </c>
      <c r="D218" s="238">
        <v>0</v>
      </c>
      <c r="E218" s="238">
        <v>0</v>
      </c>
      <c r="F218" s="238">
        <v>0</v>
      </c>
      <c r="G218" s="361" t="s">
        <v>3404</v>
      </c>
      <c r="H218" s="42" t="s">
        <v>446</v>
      </c>
      <c r="I218" s="44"/>
      <c r="J218" s="44"/>
      <c r="K218" s="202">
        <f t="shared" si="3"/>
        <v>0</v>
      </c>
      <c r="L218" s="202">
        <v>0</v>
      </c>
      <c r="M218" s="202"/>
      <c r="N218" s="202">
        <v>0</v>
      </c>
      <c r="P218" s="424"/>
      <c r="Q218" s="424"/>
    </row>
    <row r="219" spans="1:17" ht="25.5">
      <c r="A219" s="392">
        <v>680</v>
      </c>
      <c r="B219" s="239">
        <v>100</v>
      </c>
      <c r="C219" s="238">
        <v>200</v>
      </c>
      <c r="D219" s="238">
        <v>0</v>
      </c>
      <c r="E219" s="238">
        <v>0</v>
      </c>
      <c r="F219" s="238">
        <v>0</v>
      </c>
      <c r="G219" s="361" t="s">
        <v>3405</v>
      </c>
      <c r="H219" s="42" t="s">
        <v>447</v>
      </c>
      <c r="I219" s="44"/>
      <c r="J219" s="44"/>
      <c r="K219" s="202">
        <f t="shared" si="3"/>
        <v>0</v>
      </c>
      <c r="L219" s="202">
        <v>0</v>
      </c>
      <c r="M219" s="202"/>
      <c r="N219" s="202">
        <v>0</v>
      </c>
      <c r="P219" s="424"/>
      <c r="Q219" s="424"/>
    </row>
    <row r="220" spans="1:17">
      <c r="A220" s="392">
        <v>680</v>
      </c>
      <c r="B220" s="239">
        <v>100</v>
      </c>
      <c r="C220" s="238">
        <v>900</v>
      </c>
      <c r="D220" s="238">
        <v>0</v>
      </c>
      <c r="E220" s="238">
        <v>0</v>
      </c>
      <c r="F220" s="238">
        <v>0</v>
      </c>
      <c r="G220" s="361" t="s">
        <v>3406</v>
      </c>
      <c r="H220" s="42" t="s">
        <v>448</v>
      </c>
      <c r="I220" s="44"/>
      <c r="J220" s="44"/>
      <c r="K220" s="202">
        <f t="shared" si="3"/>
        <v>0</v>
      </c>
      <c r="L220" s="202">
        <v>0</v>
      </c>
      <c r="M220" s="202"/>
      <c r="N220" s="202">
        <v>0</v>
      </c>
      <c r="P220" s="424"/>
      <c r="Q220" s="424"/>
    </row>
    <row r="221" spans="1:17">
      <c r="A221" s="392">
        <v>680</v>
      </c>
      <c r="B221" s="239">
        <v>200</v>
      </c>
      <c r="C221" s="239">
        <v>0</v>
      </c>
      <c r="D221" s="239">
        <v>0</v>
      </c>
      <c r="E221" s="239">
        <v>0</v>
      </c>
      <c r="F221" s="239">
        <v>0</v>
      </c>
      <c r="G221" s="360" t="s">
        <v>3407</v>
      </c>
      <c r="H221" s="40" t="s">
        <v>449</v>
      </c>
      <c r="I221" s="41" t="s">
        <v>450</v>
      </c>
      <c r="J221" s="41"/>
      <c r="K221" s="414"/>
      <c r="L221" s="414">
        <v>0</v>
      </c>
      <c r="M221" s="414"/>
      <c r="N221" s="414">
        <v>0</v>
      </c>
      <c r="P221" s="424"/>
      <c r="Q221" s="424"/>
    </row>
    <row r="222" spans="1:17">
      <c r="A222" s="392">
        <v>680</v>
      </c>
      <c r="B222" s="239">
        <v>200</v>
      </c>
      <c r="C222" s="238">
        <v>100</v>
      </c>
      <c r="D222" s="238">
        <v>0</v>
      </c>
      <c r="E222" s="238">
        <v>0</v>
      </c>
      <c r="F222" s="238">
        <v>0</v>
      </c>
      <c r="G222" s="361" t="s">
        <v>3408</v>
      </c>
      <c r="H222" s="42" t="s">
        <v>451</v>
      </c>
      <c r="I222" s="44"/>
      <c r="J222" s="44"/>
      <c r="K222" s="202">
        <f t="shared" si="3"/>
        <v>0</v>
      </c>
      <c r="L222" s="202">
        <v>0</v>
      </c>
      <c r="M222" s="202"/>
      <c r="N222" s="202">
        <v>0</v>
      </c>
      <c r="P222" s="424"/>
      <c r="Q222" s="424"/>
    </row>
    <row r="223" spans="1:17">
      <c r="A223" s="392">
        <v>680</v>
      </c>
      <c r="B223" s="239">
        <v>200</v>
      </c>
      <c r="C223" s="238">
        <v>200</v>
      </c>
      <c r="D223" s="238">
        <v>0</v>
      </c>
      <c r="E223" s="238">
        <v>0</v>
      </c>
      <c r="F223" s="238">
        <v>0</v>
      </c>
      <c r="G223" s="361" t="s">
        <v>3409</v>
      </c>
      <c r="H223" s="42" t="s">
        <v>452</v>
      </c>
      <c r="I223" s="44"/>
      <c r="J223" s="44"/>
      <c r="K223" s="202">
        <f t="shared" si="3"/>
        <v>0</v>
      </c>
      <c r="L223" s="202">
        <v>0</v>
      </c>
      <c r="M223" s="202"/>
      <c r="N223" s="202">
        <v>1359.02</v>
      </c>
      <c r="P223" s="424"/>
      <c r="Q223" s="424"/>
    </row>
    <row r="224" spans="1:17" ht="25.5">
      <c r="A224" s="392">
        <v>680</v>
      </c>
      <c r="B224" s="239">
        <v>200</v>
      </c>
      <c r="C224" s="238">
        <v>900</v>
      </c>
      <c r="D224" s="238">
        <v>0</v>
      </c>
      <c r="E224" s="238">
        <v>0</v>
      </c>
      <c r="F224" s="238">
        <v>0</v>
      </c>
      <c r="G224" s="361" t="s">
        <v>3410</v>
      </c>
      <c r="H224" s="42" t="s">
        <v>453</v>
      </c>
      <c r="I224" s="44"/>
      <c r="J224" s="44"/>
      <c r="K224" s="202">
        <f t="shared" si="3"/>
        <v>0</v>
      </c>
      <c r="L224" s="202">
        <v>0</v>
      </c>
      <c r="M224" s="202"/>
      <c r="N224" s="202">
        <v>0</v>
      </c>
      <c r="P224" s="424"/>
      <c r="Q224" s="424"/>
    </row>
    <row r="225" spans="1:17">
      <c r="A225" s="392">
        <v>680</v>
      </c>
      <c r="B225" s="393">
        <v>300</v>
      </c>
      <c r="C225" s="239">
        <v>0</v>
      </c>
      <c r="D225" s="239">
        <v>0</v>
      </c>
      <c r="E225" s="239">
        <v>0</v>
      </c>
      <c r="F225" s="239">
        <v>0</v>
      </c>
      <c r="G225" s="365" t="s">
        <v>3411</v>
      </c>
      <c r="H225" s="45" t="s">
        <v>454</v>
      </c>
      <c r="I225" s="41" t="s">
        <v>455</v>
      </c>
      <c r="J225" s="41"/>
      <c r="K225" s="414"/>
      <c r="L225" s="414">
        <v>0</v>
      </c>
      <c r="M225" s="414"/>
      <c r="N225" s="414">
        <v>0</v>
      </c>
      <c r="P225" s="424"/>
      <c r="Q225" s="424"/>
    </row>
    <row r="226" spans="1:17" ht="25.5">
      <c r="A226" s="392">
        <v>680</v>
      </c>
      <c r="B226" s="393">
        <v>300</v>
      </c>
      <c r="C226" s="238">
        <v>100</v>
      </c>
      <c r="D226" s="238">
        <v>0</v>
      </c>
      <c r="E226" s="238">
        <v>0</v>
      </c>
      <c r="F226" s="238">
        <v>0</v>
      </c>
      <c r="G226" s="361" t="s">
        <v>3412</v>
      </c>
      <c r="H226" s="42" t="s">
        <v>456</v>
      </c>
      <c r="I226" s="44"/>
      <c r="J226" s="44"/>
      <c r="K226" s="202">
        <f t="shared" si="3"/>
        <v>0</v>
      </c>
      <c r="L226" s="202">
        <v>0</v>
      </c>
      <c r="M226" s="202"/>
      <c r="N226" s="202">
        <v>0</v>
      </c>
      <c r="P226" s="424"/>
      <c r="Q226" s="424"/>
    </row>
    <row r="227" spans="1:17">
      <c r="A227" s="392">
        <v>680</v>
      </c>
      <c r="B227" s="393">
        <v>300</v>
      </c>
      <c r="C227" s="238">
        <v>200</v>
      </c>
      <c r="D227" s="238">
        <v>0</v>
      </c>
      <c r="E227" s="238">
        <v>0</v>
      </c>
      <c r="F227" s="238">
        <v>0</v>
      </c>
      <c r="G227" s="361" t="s">
        <v>3413</v>
      </c>
      <c r="H227" s="42" t="s">
        <v>457</v>
      </c>
      <c r="I227" s="44"/>
      <c r="J227" s="44"/>
      <c r="K227" s="202">
        <f t="shared" si="3"/>
        <v>0</v>
      </c>
      <c r="L227" s="202">
        <v>0</v>
      </c>
      <c r="M227" s="202"/>
      <c r="N227" s="202">
        <v>0</v>
      </c>
      <c r="P227" s="424"/>
      <c r="Q227" s="424"/>
    </row>
    <row r="228" spans="1:17">
      <c r="A228" s="392">
        <v>680</v>
      </c>
      <c r="B228" s="239">
        <v>300</v>
      </c>
      <c r="C228" s="238">
        <v>900</v>
      </c>
      <c r="D228" s="238">
        <v>0</v>
      </c>
      <c r="E228" s="238">
        <v>0</v>
      </c>
      <c r="F228" s="238">
        <v>0</v>
      </c>
      <c r="G228" s="361" t="s">
        <v>3414</v>
      </c>
      <c r="H228" s="42" t="s">
        <v>454</v>
      </c>
      <c r="I228" s="44"/>
      <c r="J228" s="44"/>
      <c r="K228" s="202">
        <f t="shared" si="3"/>
        <v>122631.07</v>
      </c>
      <c r="L228" s="202">
        <v>122631.07</v>
      </c>
      <c r="M228" s="202"/>
      <c r="N228" s="202">
        <v>286351.51</v>
      </c>
      <c r="P228" s="424"/>
      <c r="Q228" s="424"/>
    </row>
    <row r="229" spans="1:17">
      <c r="A229" s="236">
        <v>690</v>
      </c>
      <c r="B229" s="237">
        <v>0</v>
      </c>
      <c r="C229" s="237">
        <v>0</v>
      </c>
      <c r="D229" s="237">
        <v>0</v>
      </c>
      <c r="E229" s="237">
        <v>0</v>
      </c>
      <c r="F229" s="237">
        <v>0</v>
      </c>
      <c r="G229" s="359">
        <v>690</v>
      </c>
      <c r="H229" s="38" t="s">
        <v>458</v>
      </c>
      <c r="I229" s="39" t="s">
        <v>459</v>
      </c>
      <c r="J229" s="39"/>
      <c r="K229" s="204"/>
      <c r="L229" s="204">
        <v>0</v>
      </c>
      <c r="M229" s="204"/>
      <c r="N229" s="204">
        <v>0</v>
      </c>
      <c r="P229" s="424"/>
      <c r="Q229" s="424"/>
    </row>
    <row r="230" spans="1:17">
      <c r="A230" s="394">
        <v>690</v>
      </c>
      <c r="B230" s="238">
        <v>100</v>
      </c>
      <c r="C230" s="238">
        <v>0</v>
      </c>
      <c r="D230" s="238">
        <v>0</v>
      </c>
      <c r="E230" s="238">
        <v>0</v>
      </c>
      <c r="F230" s="238">
        <v>0</v>
      </c>
      <c r="G230" s="361" t="s">
        <v>3415</v>
      </c>
      <c r="H230" s="42" t="s">
        <v>460</v>
      </c>
      <c r="I230" s="44" t="s">
        <v>461</v>
      </c>
      <c r="J230" s="44"/>
      <c r="K230" s="202">
        <f t="shared" si="3"/>
        <v>0</v>
      </c>
      <c r="L230" s="202">
        <v>0</v>
      </c>
      <c r="M230" s="202"/>
      <c r="N230" s="202">
        <v>0.08</v>
      </c>
      <c r="P230" s="424"/>
      <c r="Q230" s="424"/>
    </row>
    <row r="231" spans="1:17">
      <c r="A231" s="394">
        <v>690</v>
      </c>
      <c r="B231" s="238">
        <v>200</v>
      </c>
      <c r="C231" s="238">
        <v>0</v>
      </c>
      <c r="D231" s="238">
        <v>0</v>
      </c>
      <c r="E231" s="238">
        <v>0</v>
      </c>
      <c r="F231" s="238">
        <v>0</v>
      </c>
      <c r="G231" s="363" t="s">
        <v>3416</v>
      </c>
      <c r="H231" s="40" t="s">
        <v>462</v>
      </c>
      <c r="I231" s="44" t="s">
        <v>463</v>
      </c>
      <c r="J231" s="44"/>
      <c r="K231" s="414"/>
      <c r="L231" s="414">
        <v>0</v>
      </c>
      <c r="M231" s="414"/>
      <c r="N231" s="414">
        <v>0</v>
      </c>
      <c r="P231" s="424"/>
      <c r="Q231" s="424"/>
    </row>
    <row r="232" spans="1:17">
      <c r="A232" s="394">
        <v>690</v>
      </c>
      <c r="B232" s="238">
        <v>200</v>
      </c>
      <c r="C232" s="238">
        <v>100</v>
      </c>
      <c r="D232" s="238">
        <v>0</v>
      </c>
      <c r="E232" s="238">
        <v>0</v>
      </c>
      <c r="F232" s="238">
        <v>0</v>
      </c>
      <c r="G232" s="361" t="s">
        <v>3417</v>
      </c>
      <c r="H232" s="46" t="s">
        <v>464</v>
      </c>
      <c r="I232" s="44"/>
      <c r="J232" s="44"/>
      <c r="K232" s="202">
        <f t="shared" si="3"/>
        <v>0</v>
      </c>
      <c r="L232" s="202">
        <v>0</v>
      </c>
      <c r="M232" s="202"/>
      <c r="N232" s="202">
        <v>499.12</v>
      </c>
      <c r="P232" s="424"/>
      <c r="Q232" s="424"/>
    </row>
    <row r="233" spans="1:17">
      <c r="A233" s="394">
        <v>690</v>
      </c>
      <c r="B233" s="238">
        <v>200</v>
      </c>
      <c r="C233" s="243">
        <v>200</v>
      </c>
      <c r="D233" s="243">
        <v>0</v>
      </c>
      <c r="E233" s="243">
        <v>0</v>
      </c>
      <c r="F233" s="243">
        <v>0</v>
      </c>
      <c r="G233" s="366" t="s">
        <v>3418</v>
      </c>
      <c r="H233" s="47" t="s">
        <v>465</v>
      </c>
      <c r="I233" s="44"/>
      <c r="J233" s="44"/>
      <c r="K233" s="202">
        <f t="shared" si="3"/>
        <v>108.09</v>
      </c>
      <c r="L233" s="202">
        <v>108.09</v>
      </c>
      <c r="M233" s="202"/>
      <c r="N233" s="202">
        <v>0</v>
      </c>
      <c r="P233" s="424"/>
      <c r="Q233" s="424"/>
    </row>
    <row r="234" spans="1:17">
      <c r="A234" s="394">
        <v>690</v>
      </c>
      <c r="B234" s="238">
        <v>300</v>
      </c>
      <c r="C234" s="238">
        <v>0</v>
      </c>
      <c r="D234" s="238">
        <v>0</v>
      </c>
      <c r="E234" s="238">
        <v>0</v>
      </c>
      <c r="F234" s="238">
        <v>0</v>
      </c>
      <c r="G234" s="363" t="s">
        <v>3419</v>
      </c>
      <c r="H234" s="40" t="s">
        <v>466</v>
      </c>
      <c r="I234" s="44" t="s">
        <v>467</v>
      </c>
      <c r="J234" s="44"/>
      <c r="K234" s="414"/>
      <c r="L234" s="414">
        <v>0</v>
      </c>
      <c r="M234" s="414"/>
      <c r="N234" s="414">
        <v>0</v>
      </c>
      <c r="P234" s="424"/>
      <c r="Q234" s="424"/>
    </row>
    <row r="235" spans="1:17">
      <c r="A235" s="394">
        <v>690</v>
      </c>
      <c r="B235" s="238">
        <v>300</v>
      </c>
      <c r="C235" s="238">
        <v>100</v>
      </c>
      <c r="D235" s="238">
        <v>0</v>
      </c>
      <c r="E235" s="238">
        <v>0</v>
      </c>
      <c r="F235" s="238">
        <v>0</v>
      </c>
      <c r="G235" s="361" t="s">
        <v>3420</v>
      </c>
      <c r="H235" s="46" t="s">
        <v>468</v>
      </c>
      <c r="I235" s="44"/>
      <c r="J235" s="44"/>
      <c r="K235" s="202">
        <f t="shared" si="3"/>
        <v>0</v>
      </c>
      <c r="L235" s="202">
        <v>0</v>
      </c>
      <c r="M235" s="202"/>
      <c r="N235" s="202">
        <v>0</v>
      </c>
      <c r="P235" s="424"/>
      <c r="Q235" s="424"/>
    </row>
    <row r="236" spans="1:17">
      <c r="A236" s="394">
        <v>690</v>
      </c>
      <c r="B236" s="238">
        <v>300</v>
      </c>
      <c r="C236" s="238">
        <v>200</v>
      </c>
      <c r="D236" s="238">
        <v>0</v>
      </c>
      <c r="E236" s="238">
        <v>0</v>
      </c>
      <c r="F236" s="238">
        <v>0</v>
      </c>
      <c r="G236" s="361" t="s">
        <v>3421</v>
      </c>
      <c r="H236" s="46" t="s">
        <v>469</v>
      </c>
      <c r="I236" s="44"/>
      <c r="J236" s="44"/>
      <c r="K236" s="202">
        <f t="shared" si="3"/>
        <v>106.51</v>
      </c>
      <c r="L236" s="202">
        <v>106.51</v>
      </c>
      <c r="M236" s="202"/>
      <c r="N236" s="202">
        <v>262.18</v>
      </c>
      <c r="P236" s="424"/>
      <c r="Q236" s="424"/>
    </row>
    <row r="237" spans="1:17">
      <c r="A237" s="395">
        <v>690</v>
      </c>
      <c r="B237" s="396">
        <v>300</v>
      </c>
      <c r="C237" s="243">
        <v>900</v>
      </c>
      <c r="D237" s="243">
        <v>0</v>
      </c>
      <c r="E237" s="243">
        <v>0</v>
      </c>
      <c r="F237" s="243">
        <v>0</v>
      </c>
      <c r="G237" s="366" t="s">
        <v>3422</v>
      </c>
      <c r="H237" s="47" t="s">
        <v>466</v>
      </c>
      <c r="I237" s="44"/>
      <c r="J237" s="44"/>
      <c r="K237" s="202">
        <f t="shared" si="3"/>
        <v>0</v>
      </c>
      <c r="L237" s="202">
        <v>0</v>
      </c>
      <c r="M237" s="202"/>
      <c r="N237" s="202">
        <v>0</v>
      </c>
      <c r="P237" s="424"/>
      <c r="Q237" s="424"/>
    </row>
    <row r="238" spans="1:17">
      <c r="A238" s="244">
        <v>700</v>
      </c>
      <c r="B238" s="245">
        <v>0</v>
      </c>
      <c r="C238" s="245">
        <v>0</v>
      </c>
      <c r="D238" s="245">
        <v>0</v>
      </c>
      <c r="E238" s="245">
        <v>0</v>
      </c>
      <c r="F238" s="245">
        <v>0</v>
      </c>
      <c r="G238" s="367">
        <v>700</v>
      </c>
      <c r="H238" s="38" t="s">
        <v>470</v>
      </c>
      <c r="I238" s="39" t="s">
        <v>471</v>
      </c>
      <c r="J238" s="39"/>
      <c r="K238" s="204"/>
      <c r="L238" s="204">
        <v>0</v>
      </c>
      <c r="M238" s="204"/>
      <c r="N238" s="204">
        <v>0</v>
      </c>
      <c r="P238" s="424"/>
      <c r="Q238" s="424"/>
    </row>
    <row r="239" spans="1:17">
      <c r="A239" s="394">
        <v>700</v>
      </c>
      <c r="B239" s="238">
        <v>100</v>
      </c>
      <c r="C239" s="238">
        <v>0</v>
      </c>
      <c r="D239" s="238">
        <v>0</v>
      </c>
      <c r="E239" s="238">
        <v>0</v>
      </c>
      <c r="F239" s="238">
        <v>0</v>
      </c>
      <c r="G239" s="361" t="s">
        <v>3423</v>
      </c>
      <c r="H239" s="42" t="s">
        <v>472</v>
      </c>
      <c r="I239" s="44" t="s">
        <v>473</v>
      </c>
      <c r="J239" s="44"/>
      <c r="K239" s="202">
        <f t="shared" si="3"/>
        <v>0</v>
      </c>
      <c r="L239" s="202">
        <v>0</v>
      </c>
      <c r="M239" s="202"/>
      <c r="N239" s="202">
        <v>0</v>
      </c>
      <c r="P239" s="424"/>
      <c r="Q239" s="424"/>
    </row>
    <row r="240" spans="1:17" ht="25.5">
      <c r="A240" s="394">
        <v>700</v>
      </c>
      <c r="B240" s="238">
        <v>200</v>
      </c>
      <c r="C240" s="238">
        <v>0</v>
      </c>
      <c r="D240" s="238">
        <v>0</v>
      </c>
      <c r="E240" s="238">
        <v>0</v>
      </c>
      <c r="F240" s="238">
        <v>0</v>
      </c>
      <c r="G240" s="361" t="s">
        <v>3424</v>
      </c>
      <c r="H240" s="42" t="s">
        <v>474</v>
      </c>
      <c r="I240" s="44" t="s">
        <v>475</v>
      </c>
      <c r="J240" s="44"/>
      <c r="K240" s="202">
        <f t="shared" si="3"/>
        <v>0</v>
      </c>
      <c r="L240" s="202">
        <v>0</v>
      </c>
      <c r="M240" s="202"/>
      <c r="N240" s="202">
        <v>0</v>
      </c>
      <c r="P240" s="424"/>
      <c r="Q240" s="424"/>
    </row>
    <row r="241" spans="1:191" ht="25.5">
      <c r="A241" s="394">
        <v>700</v>
      </c>
      <c r="B241" s="238">
        <v>300</v>
      </c>
      <c r="C241" s="238">
        <v>0</v>
      </c>
      <c r="D241" s="238">
        <v>0</v>
      </c>
      <c r="E241" s="238">
        <v>0</v>
      </c>
      <c r="F241" s="238">
        <v>0</v>
      </c>
      <c r="G241" s="361" t="s">
        <v>3425</v>
      </c>
      <c r="H241" s="42" t="s">
        <v>476</v>
      </c>
      <c r="I241" s="44" t="s">
        <v>477</v>
      </c>
      <c r="J241" s="44"/>
      <c r="K241" s="202">
        <f t="shared" si="3"/>
        <v>0</v>
      </c>
      <c r="L241" s="202">
        <v>0</v>
      </c>
      <c r="M241" s="202"/>
      <c r="N241" s="202">
        <v>0</v>
      </c>
      <c r="P241" s="424"/>
      <c r="Q241" s="424"/>
    </row>
    <row r="242" spans="1:191">
      <c r="A242" s="394">
        <v>700</v>
      </c>
      <c r="B242" s="238">
        <v>400</v>
      </c>
      <c r="C242" s="238">
        <v>0</v>
      </c>
      <c r="D242" s="238">
        <v>0</v>
      </c>
      <c r="E242" s="238">
        <v>0</v>
      </c>
      <c r="F242" s="238">
        <v>0</v>
      </c>
      <c r="G242" s="361" t="s">
        <v>3426</v>
      </c>
      <c r="H242" s="42" t="s">
        <v>478</v>
      </c>
      <c r="I242" s="44" t="s">
        <v>479</v>
      </c>
      <c r="J242" s="44"/>
      <c r="K242" s="202">
        <f t="shared" si="3"/>
        <v>0</v>
      </c>
      <c r="L242" s="202">
        <v>0</v>
      </c>
      <c r="M242" s="202"/>
      <c r="N242" s="202">
        <v>0</v>
      </c>
      <c r="P242" s="424"/>
      <c r="Q242" s="424"/>
    </row>
    <row r="243" spans="1:191">
      <c r="A243" s="394">
        <v>700</v>
      </c>
      <c r="B243" s="238">
        <v>500</v>
      </c>
      <c r="C243" s="238">
        <v>0</v>
      </c>
      <c r="D243" s="238">
        <v>0</v>
      </c>
      <c r="E243" s="238">
        <v>0</v>
      </c>
      <c r="F243" s="238">
        <v>0</v>
      </c>
      <c r="G243" s="361" t="s">
        <v>3427</v>
      </c>
      <c r="H243" s="42" t="s">
        <v>480</v>
      </c>
      <c r="I243" s="44" t="s">
        <v>481</v>
      </c>
      <c r="J243" s="44"/>
      <c r="K243" s="202">
        <f t="shared" si="3"/>
        <v>0</v>
      </c>
      <c r="L243" s="202">
        <v>0</v>
      </c>
      <c r="M243" s="202"/>
      <c r="N243" s="202">
        <v>0</v>
      </c>
      <c r="P243" s="424"/>
      <c r="Q243" s="424"/>
    </row>
    <row r="244" spans="1:191" ht="25.5">
      <c r="A244" s="241">
        <v>710</v>
      </c>
      <c r="B244" s="242">
        <v>0</v>
      </c>
      <c r="C244" s="242">
        <v>0</v>
      </c>
      <c r="D244" s="242">
        <v>0</v>
      </c>
      <c r="E244" s="242">
        <v>0</v>
      </c>
      <c r="F244" s="242">
        <v>0</v>
      </c>
      <c r="G244" s="364" t="s">
        <v>3428</v>
      </c>
      <c r="H244" s="51" t="s">
        <v>482</v>
      </c>
      <c r="I244" s="154" t="s">
        <v>483</v>
      </c>
      <c r="J244" s="154"/>
      <c r="K244" s="208">
        <f t="shared" si="3"/>
        <v>0</v>
      </c>
      <c r="L244" s="208">
        <v>0</v>
      </c>
      <c r="M244" s="208"/>
      <c r="N244" s="208">
        <v>0</v>
      </c>
      <c r="P244" s="424"/>
      <c r="Q244" s="424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</row>
    <row r="245" spans="1:191">
      <c r="A245" s="236">
        <v>720</v>
      </c>
      <c r="B245" s="237">
        <v>0</v>
      </c>
      <c r="C245" s="237">
        <v>0</v>
      </c>
      <c r="D245" s="237">
        <v>0</v>
      </c>
      <c r="E245" s="237">
        <v>0</v>
      </c>
      <c r="F245" s="237">
        <v>0</v>
      </c>
      <c r="G245" s="359">
        <v>720</v>
      </c>
      <c r="H245" s="38" t="s">
        <v>98</v>
      </c>
      <c r="I245" s="39" t="s">
        <v>484</v>
      </c>
      <c r="J245" s="39"/>
      <c r="K245" s="204"/>
      <c r="L245" s="204">
        <v>0</v>
      </c>
      <c r="M245" s="204"/>
      <c r="N245" s="204">
        <v>0</v>
      </c>
      <c r="P245" s="424"/>
      <c r="Q245" s="424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</row>
    <row r="246" spans="1:191">
      <c r="A246" s="394">
        <v>720</v>
      </c>
      <c r="B246" s="238">
        <v>100</v>
      </c>
      <c r="C246" s="238">
        <v>0</v>
      </c>
      <c r="D246" s="238">
        <v>0</v>
      </c>
      <c r="E246" s="238">
        <v>0</v>
      </c>
      <c r="F246" s="238">
        <v>0</v>
      </c>
      <c r="G246" s="361" t="s">
        <v>3429</v>
      </c>
      <c r="H246" s="42" t="s">
        <v>485</v>
      </c>
      <c r="I246" s="44" t="s">
        <v>486</v>
      </c>
      <c r="J246" s="44"/>
      <c r="K246" s="202">
        <f t="shared" si="3"/>
        <v>0</v>
      </c>
      <c r="L246" s="202">
        <v>0</v>
      </c>
      <c r="M246" s="202"/>
      <c r="N246" s="202">
        <v>0</v>
      </c>
      <c r="P246" s="424"/>
      <c r="Q246" s="424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</row>
    <row r="247" spans="1:191">
      <c r="A247" s="394">
        <v>720</v>
      </c>
      <c r="B247" s="238">
        <v>200</v>
      </c>
      <c r="C247" s="238">
        <v>0</v>
      </c>
      <c r="D247" s="238">
        <v>0</v>
      </c>
      <c r="E247" s="238">
        <v>0</v>
      </c>
      <c r="F247" s="238">
        <v>0</v>
      </c>
      <c r="G247" s="363" t="s">
        <v>3430</v>
      </c>
      <c r="H247" s="40" t="s">
        <v>487</v>
      </c>
      <c r="I247" s="44" t="s">
        <v>488</v>
      </c>
      <c r="J247" s="44"/>
      <c r="K247" s="414"/>
      <c r="L247" s="414">
        <v>0</v>
      </c>
      <c r="M247" s="414"/>
      <c r="N247" s="414">
        <v>0</v>
      </c>
      <c r="P247" s="424"/>
      <c r="Q247" s="424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</row>
    <row r="248" spans="1:191">
      <c r="A248" s="394">
        <v>720</v>
      </c>
      <c r="B248" s="238">
        <v>200</v>
      </c>
      <c r="C248" s="238">
        <v>100</v>
      </c>
      <c r="D248" s="238">
        <v>0</v>
      </c>
      <c r="E248" s="238">
        <v>0</v>
      </c>
      <c r="F248" s="238">
        <v>0</v>
      </c>
      <c r="G248" s="363" t="s">
        <v>3431</v>
      </c>
      <c r="H248" s="40" t="s">
        <v>489</v>
      </c>
      <c r="I248" s="44" t="s">
        <v>490</v>
      </c>
      <c r="J248" s="44"/>
      <c r="K248" s="202">
        <f t="shared" si="3"/>
        <v>39257.15</v>
      </c>
      <c r="L248" s="202">
        <v>39257.15</v>
      </c>
      <c r="M248" s="202"/>
      <c r="N248" s="202">
        <v>18228.810000000001</v>
      </c>
      <c r="P248" s="424"/>
      <c r="Q248" s="424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</row>
    <row r="249" spans="1:191">
      <c r="A249" s="394">
        <v>720</v>
      </c>
      <c r="B249" s="238">
        <v>200</v>
      </c>
      <c r="C249" s="238">
        <v>200</v>
      </c>
      <c r="D249" s="238">
        <v>0</v>
      </c>
      <c r="E249" s="238">
        <v>0</v>
      </c>
      <c r="F249" s="238">
        <v>0</v>
      </c>
      <c r="G249" s="363" t="s">
        <v>3432</v>
      </c>
      <c r="H249" s="40" t="s">
        <v>491</v>
      </c>
      <c r="I249" s="44" t="s">
        <v>492</v>
      </c>
      <c r="J249" s="44"/>
      <c r="K249" s="414"/>
      <c r="L249" s="414">
        <v>0</v>
      </c>
      <c r="M249" s="414"/>
      <c r="N249" s="414">
        <v>0</v>
      </c>
      <c r="P249" s="424"/>
      <c r="Q249" s="424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  <c r="FT249" s="37"/>
      <c r="FU249" s="37"/>
      <c r="FV249" s="37"/>
      <c r="FW249" s="37"/>
      <c r="FX249" s="37"/>
      <c r="FY249" s="37"/>
      <c r="FZ249" s="37"/>
      <c r="GA249" s="37"/>
      <c r="GB249" s="37"/>
      <c r="GC249" s="37"/>
      <c r="GD249" s="37"/>
      <c r="GE249" s="37"/>
      <c r="GF249" s="37"/>
      <c r="GG249" s="37"/>
      <c r="GH249" s="37"/>
      <c r="GI249" s="37"/>
    </row>
    <row r="250" spans="1:191">
      <c r="A250" s="394">
        <v>720</v>
      </c>
      <c r="B250" s="238">
        <v>200</v>
      </c>
      <c r="C250" s="238">
        <v>200</v>
      </c>
      <c r="D250" s="238">
        <v>50</v>
      </c>
      <c r="E250" s="238">
        <v>0</v>
      </c>
      <c r="F250" s="238">
        <v>0</v>
      </c>
      <c r="G250" s="363" t="s">
        <v>3433</v>
      </c>
      <c r="H250" s="42" t="s">
        <v>493</v>
      </c>
      <c r="I250" s="44" t="s">
        <v>494</v>
      </c>
      <c r="J250" s="44"/>
      <c r="K250" s="205">
        <f t="shared" si="3"/>
        <v>0</v>
      </c>
      <c r="L250" s="205">
        <v>0</v>
      </c>
      <c r="M250" s="205"/>
      <c r="N250" s="205">
        <v>0</v>
      </c>
      <c r="P250" s="424"/>
      <c r="Q250" s="424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</row>
    <row r="251" spans="1:191" ht="25.5">
      <c r="A251" s="394">
        <v>720</v>
      </c>
      <c r="B251" s="238">
        <v>200</v>
      </c>
      <c r="C251" s="238">
        <v>200</v>
      </c>
      <c r="D251" s="238">
        <v>100</v>
      </c>
      <c r="E251" s="238">
        <v>0</v>
      </c>
      <c r="F251" s="238">
        <v>0</v>
      </c>
      <c r="G251" s="361" t="s">
        <v>3434</v>
      </c>
      <c r="H251" s="42" t="s">
        <v>495</v>
      </c>
      <c r="I251" s="44" t="s">
        <v>496</v>
      </c>
      <c r="J251" s="44" t="s">
        <v>1530</v>
      </c>
      <c r="K251" s="202">
        <f t="shared" si="3"/>
        <v>327818.71999999997</v>
      </c>
      <c r="L251" s="202">
        <v>327818.71999999997</v>
      </c>
      <c r="M251" s="202"/>
      <c r="N251" s="202">
        <v>0</v>
      </c>
      <c r="P251" s="424"/>
      <c r="Q251" s="424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  <c r="FT251" s="37"/>
      <c r="FU251" s="37"/>
      <c r="FV251" s="37"/>
      <c r="FW251" s="37"/>
      <c r="FX251" s="37"/>
      <c r="FY251" s="37"/>
      <c r="FZ251" s="37"/>
      <c r="GA251" s="37"/>
      <c r="GB251" s="37"/>
      <c r="GC251" s="37"/>
      <c r="GD251" s="37"/>
      <c r="GE251" s="37"/>
      <c r="GF251" s="37"/>
      <c r="GG251" s="37"/>
      <c r="GH251" s="37"/>
      <c r="GI251" s="37"/>
    </row>
    <row r="252" spans="1:191">
      <c r="A252" s="394">
        <v>720</v>
      </c>
      <c r="B252" s="238">
        <v>200</v>
      </c>
      <c r="C252" s="238">
        <v>200</v>
      </c>
      <c r="D252" s="238">
        <v>200</v>
      </c>
      <c r="E252" s="238">
        <v>0</v>
      </c>
      <c r="F252" s="238">
        <v>0</v>
      </c>
      <c r="G252" s="363" t="s">
        <v>3435</v>
      </c>
      <c r="H252" s="40" t="s">
        <v>497</v>
      </c>
      <c r="I252" s="44" t="s">
        <v>498</v>
      </c>
      <c r="J252" s="44"/>
      <c r="K252" s="414"/>
      <c r="L252" s="414">
        <v>0</v>
      </c>
      <c r="M252" s="414"/>
      <c r="N252" s="414">
        <v>0</v>
      </c>
      <c r="P252" s="424"/>
      <c r="Q252" s="424"/>
    </row>
    <row r="253" spans="1:191" ht="25.5">
      <c r="A253" s="394">
        <v>720</v>
      </c>
      <c r="B253" s="238">
        <v>200</v>
      </c>
      <c r="C253" s="238">
        <v>200</v>
      </c>
      <c r="D253" s="238">
        <v>200</v>
      </c>
      <c r="E253" s="238">
        <v>10</v>
      </c>
      <c r="F253" s="240">
        <v>0</v>
      </c>
      <c r="G253" s="361" t="s">
        <v>3436</v>
      </c>
      <c r="H253" s="42" t="s">
        <v>499</v>
      </c>
      <c r="I253" s="44" t="s">
        <v>500</v>
      </c>
      <c r="J253" s="44" t="s">
        <v>1575</v>
      </c>
      <c r="K253" s="202">
        <f t="shared" si="3"/>
        <v>0</v>
      </c>
      <c r="L253" s="202">
        <v>0</v>
      </c>
      <c r="M253" s="202"/>
      <c r="N253" s="202">
        <v>0</v>
      </c>
      <c r="P253" s="424"/>
      <c r="Q253" s="424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</row>
    <row r="254" spans="1:191">
      <c r="A254" s="394">
        <v>720</v>
      </c>
      <c r="B254" s="238">
        <v>200</v>
      </c>
      <c r="C254" s="238">
        <v>200</v>
      </c>
      <c r="D254" s="238">
        <v>200</v>
      </c>
      <c r="E254" s="238">
        <v>20</v>
      </c>
      <c r="F254" s="240">
        <v>0</v>
      </c>
      <c r="G254" s="361" t="s">
        <v>3437</v>
      </c>
      <c r="H254" s="42" t="s">
        <v>501</v>
      </c>
      <c r="I254" s="44" t="s">
        <v>502</v>
      </c>
      <c r="J254" s="44"/>
      <c r="K254" s="202">
        <f t="shared" si="3"/>
        <v>681.22</v>
      </c>
      <c r="L254" s="202">
        <v>681.22</v>
      </c>
      <c r="M254" s="202"/>
      <c r="N254" s="202">
        <v>4635.9799999999996</v>
      </c>
      <c r="P254" s="424"/>
      <c r="Q254" s="424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  <c r="FE254" s="37"/>
      <c r="FF254" s="37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</row>
    <row r="255" spans="1:191" ht="25.5">
      <c r="A255" s="394">
        <v>720</v>
      </c>
      <c r="B255" s="238">
        <v>200</v>
      </c>
      <c r="C255" s="238">
        <v>200</v>
      </c>
      <c r="D255" s="238">
        <v>200</v>
      </c>
      <c r="E255" s="238">
        <v>30</v>
      </c>
      <c r="F255" s="240">
        <v>0</v>
      </c>
      <c r="G255" s="361" t="s">
        <v>3438</v>
      </c>
      <c r="H255" s="42" t="s">
        <v>503</v>
      </c>
      <c r="I255" s="44" t="s">
        <v>504</v>
      </c>
      <c r="J255" s="44"/>
      <c r="K255" s="202">
        <f t="shared" si="3"/>
        <v>0</v>
      </c>
      <c r="L255" s="202">
        <v>0</v>
      </c>
      <c r="M255" s="202"/>
      <c r="N255" s="202">
        <v>0</v>
      </c>
      <c r="P255" s="424"/>
      <c r="Q255" s="424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</row>
    <row r="256" spans="1:191" ht="25.5">
      <c r="A256" s="394">
        <v>720</v>
      </c>
      <c r="B256" s="238">
        <v>200</v>
      </c>
      <c r="C256" s="238">
        <v>200</v>
      </c>
      <c r="D256" s="238">
        <v>200</v>
      </c>
      <c r="E256" s="238">
        <v>40</v>
      </c>
      <c r="F256" s="240">
        <v>0</v>
      </c>
      <c r="G256" s="361" t="s">
        <v>3439</v>
      </c>
      <c r="H256" s="42" t="s">
        <v>505</v>
      </c>
      <c r="I256" s="44" t="s">
        <v>506</v>
      </c>
      <c r="J256" s="44"/>
      <c r="K256" s="202">
        <f t="shared" si="3"/>
        <v>0</v>
      </c>
      <c r="L256" s="202">
        <v>0</v>
      </c>
      <c r="M256" s="202"/>
      <c r="N256" s="202">
        <v>0</v>
      </c>
      <c r="P256" s="424"/>
      <c r="Q256" s="424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</row>
    <row r="257" spans="1:191" ht="25.5">
      <c r="A257" s="394">
        <v>720</v>
      </c>
      <c r="B257" s="238">
        <v>200</v>
      </c>
      <c r="C257" s="238">
        <v>200</v>
      </c>
      <c r="D257" s="238">
        <v>200</v>
      </c>
      <c r="E257" s="238">
        <v>50</v>
      </c>
      <c r="F257" s="240">
        <v>0</v>
      </c>
      <c r="G257" s="361" t="s">
        <v>3440</v>
      </c>
      <c r="H257" s="42" t="s">
        <v>507</v>
      </c>
      <c r="I257" s="44" t="s">
        <v>508</v>
      </c>
      <c r="J257" s="44"/>
      <c r="K257" s="202">
        <f t="shared" si="3"/>
        <v>0</v>
      </c>
      <c r="L257" s="202">
        <v>0</v>
      </c>
      <c r="M257" s="202"/>
      <c r="N257" s="202">
        <v>0</v>
      </c>
      <c r="P257" s="424"/>
      <c r="Q257" s="424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</row>
    <row r="258" spans="1:191" ht="25.5">
      <c r="A258" s="394">
        <v>720</v>
      </c>
      <c r="B258" s="238">
        <v>200</v>
      </c>
      <c r="C258" s="238">
        <v>200</v>
      </c>
      <c r="D258" s="238">
        <v>200</v>
      </c>
      <c r="E258" s="238">
        <v>60</v>
      </c>
      <c r="F258" s="240">
        <v>0</v>
      </c>
      <c r="G258" s="361" t="s">
        <v>3441</v>
      </c>
      <c r="H258" s="42" t="s">
        <v>509</v>
      </c>
      <c r="I258" s="44" t="s">
        <v>510</v>
      </c>
      <c r="J258" s="44"/>
      <c r="K258" s="202">
        <f t="shared" si="3"/>
        <v>42978.6</v>
      </c>
      <c r="L258" s="202">
        <v>42978.6</v>
      </c>
      <c r="M258" s="202"/>
      <c r="N258" s="202">
        <v>862.89</v>
      </c>
      <c r="P258" s="424"/>
      <c r="Q258" s="424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</row>
    <row r="259" spans="1:191">
      <c r="A259" s="394">
        <v>720</v>
      </c>
      <c r="B259" s="238">
        <v>200</v>
      </c>
      <c r="C259" s="238">
        <v>200</v>
      </c>
      <c r="D259" s="238">
        <v>200</v>
      </c>
      <c r="E259" s="238">
        <v>90</v>
      </c>
      <c r="F259" s="240">
        <v>0</v>
      </c>
      <c r="G259" s="361" t="s">
        <v>3442</v>
      </c>
      <c r="H259" s="42" t="s">
        <v>511</v>
      </c>
      <c r="I259" s="44" t="s">
        <v>512</v>
      </c>
      <c r="J259" s="44"/>
      <c r="K259" s="202">
        <f t="shared" si="3"/>
        <v>97995.35</v>
      </c>
      <c r="L259" s="202">
        <v>97995.35</v>
      </c>
      <c r="M259" s="202"/>
      <c r="N259" s="202">
        <v>111633.81</v>
      </c>
      <c r="P259" s="424"/>
      <c r="Q259" s="424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</row>
    <row r="260" spans="1:191">
      <c r="A260" s="394">
        <v>720</v>
      </c>
      <c r="B260" s="238">
        <v>200</v>
      </c>
      <c r="C260" s="238">
        <v>300</v>
      </c>
      <c r="D260" s="238">
        <v>0</v>
      </c>
      <c r="E260" s="238">
        <v>0</v>
      </c>
      <c r="F260" s="240">
        <v>0</v>
      </c>
      <c r="G260" s="363" t="s">
        <v>3443</v>
      </c>
      <c r="H260" s="40" t="s">
        <v>513</v>
      </c>
      <c r="I260" s="44"/>
      <c r="J260" s="44"/>
      <c r="K260" s="414"/>
      <c r="L260" s="414">
        <v>0</v>
      </c>
      <c r="M260" s="414"/>
      <c r="N260" s="414">
        <v>0</v>
      </c>
      <c r="P260" s="424"/>
      <c r="Q260" s="424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</row>
    <row r="261" spans="1:191" ht="25.5">
      <c r="A261" s="394">
        <v>720</v>
      </c>
      <c r="B261" s="238">
        <v>200</v>
      </c>
      <c r="C261" s="238">
        <v>300</v>
      </c>
      <c r="D261" s="238">
        <v>100</v>
      </c>
      <c r="E261" s="238">
        <v>0</v>
      </c>
      <c r="F261" s="238">
        <v>0</v>
      </c>
      <c r="G261" s="361" t="s">
        <v>3444</v>
      </c>
      <c r="H261" s="42" t="s">
        <v>514</v>
      </c>
      <c r="I261" s="44" t="s">
        <v>515</v>
      </c>
      <c r="J261" s="44" t="s">
        <v>1530</v>
      </c>
      <c r="K261" s="202">
        <f t="shared" si="3"/>
        <v>294680.05</v>
      </c>
      <c r="L261" s="202">
        <v>294680.05</v>
      </c>
      <c r="M261" s="202"/>
      <c r="N261" s="202">
        <v>130.63999999999999</v>
      </c>
      <c r="P261" s="424"/>
      <c r="Q261" s="424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</row>
    <row r="262" spans="1:191">
      <c r="A262" s="394">
        <v>720</v>
      </c>
      <c r="B262" s="238">
        <v>200</v>
      </c>
      <c r="C262" s="238">
        <v>300</v>
      </c>
      <c r="D262" s="238">
        <v>200</v>
      </c>
      <c r="E262" s="238">
        <v>0</v>
      </c>
      <c r="F262" s="238">
        <v>0</v>
      </c>
      <c r="G262" s="363" t="s">
        <v>3445</v>
      </c>
      <c r="H262" s="40" t="s">
        <v>516</v>
      </c>
      <c r="I262" s="44"/>
      <c r="J262" s="44"/>
      <c r="K262" s="414"/>
      <c r="L262" s="414">
        <v>0</v>
      </c>
      <c r="M262" s="414"/>
      <c r="N262" s="414">
        <v>0</v>
      </c>
      <c r="P262" s="424"/>
      <c r="Q262" s="424"/>
    </row>
    <row r="263" spans="1:191" ht="25.5">
      <c r="A263" s="394">
        <v>720</v>
      </c>
      <c r="B263" s="238">
        <v>200</v>
      </c>
      <c r="C263" s="238">
        <v>300</v>
      </c>
      <c r="D263" s="238">
        <v>200</v>
      </c>
      <c r="E263" s="238">
        <v>10</v>
      </c>
      <c r="F263" s="238">
        <v>0</v>
      </c>
      <c r="G263" s="361" t="s">
        <v>3446</v>
      </c>
      <c r="H263" s="42" t="s">
        <v>517</v>
      </c>
      <c r="I263" s="44" t="s">
        <v>518</v>
      </c>
      <c r="J263" s="44" t="s">
        <v>1575</v>
      </c>
      <c r="K263" s="202">
        <f t="shared" ref="K263:K270" si="4">+L263+M263</f>
        <v>0</v>
      </c>
      <c r="L263" s="202">
        <v>0</v>
      </c>
      <c r="M263" s="202"/>
      <c r="N263" s="202">
        <v>407107.62</v>
      </c>
      <c r="P263" s="424"/>
      <c r="Q263" s="424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</row>
    <row r="264" spans="1:191">
      <c r="A264" s="394">
        <v>720</v>
      </c>
      <c r="B264" s="238">
        <v>200</v>
      </c>
      <c r="C264" s="238">
        <v>300</v>
      </c>
      <c r="D264" s="238">
        <v>200</v>
      </c>
      <c r="E264" s="238">
        <v>20</v>
      </c>
      <c r="F264" s="238">
        <v>0</v>
      </c>
      <c r="G264" s="361" t="s">
        <v>3447</v>
      </c>
      <c r="H264" s="42" t="s">
        <v>519</v>
      </c>
      <c r="I264" s="44" t="s">
        <v>520</v>
      </c>
      <c r="J264" s="44"/>
      <c r="K264" s="202">
        <f t="shared" si="4"/>
        <v>349.74</v>
      </c>
      <c r="L264" s="202">
        <v>349.74</v>
      </c>
      <c r="M264" s="202"/>
      <c r="N264" s="202">
        <v>35878.17</v>
      </c>
      <c r="P264" s="424"/>
      <c r="Q264" s="424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</row>
    <row r="265" spans="1:191" ht="25.5">
      <c r="A265" s="394">
        <v>720</v>
      </c>
      <c r="B265" s="238">
        <v>200</v>
      </c>
      <c r="C265" s="238">
        <v>300</v>
      </c>
      <c r="D265" s="238">
        <v>200</v>
      </c>
      <c r="E265" s="238">
        <v>30</v>
      </c>
      <c r="F265" s="238">
        <v>0</v>
      </c>
      <c r="G265" s="361" t="s">
        <v>3448</v>
      </c>
      <c r="H265" s="42" t="s">
        <v>521</v>
      </c>
      <c r="I265" s="44" t="s">
        <v>522</v>
      </c>
      <c r="J265" s="44"/>
      <c r="K265" s="202">
        <f t="shared" si="4"/>
        <v>0</v>
      </c>
      <c r="L265" s="202">
        <v>0</v>
      </c>
      <c r="M265" s="202"/>
      <c r="N265" s="202">
        <v>0</v>
      </c>
      <c r="P265" s="424"/>
      <c r="Q265" s="424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</row>
    <row r="266" spans="1:191" ht="25.5">
      <c r="A266" s="394">
        <v>720</v>
      </c>
      <c r="B266" s="238">
        <v>200</v>
      </c>
      <c r="C266" s="238">
        <v>300</v>
      </c>
      <c r="D266" s="238">
        <v>200</v>
      </c>
      <c r="E266" s="238">
        <v>40</v>
      </c>
      <c r="F266" s="238">
        <v>0</v>
      </c>
      <c r="G266" s="361" t="s">
        <v>3449</v>
      </c>
      <c r="H266" s="42" t="s">
        <v>523</v>
      </c>
      <c r="I266" s="44" t="s">
        <v>524</v>
      </c>
      <c r="J266" s="44"/>
      <c r="K266" s="202">
        <f t="shared" si="4"/>
        <v>0</v>
      </c>
      <c r="L266" s="202">
        <v>0</v>
      </c>
      <c r="M266" s="202"/>
      <c r="N266" s="202">
        <v>0</v>
      </c>
      <c r="P266" s="424"/>
      <c r="Q266" s="424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</row>
    <row r="267" spans="1:191" ht="25.5">
      <c r="A267" s="394">
        <v>720</v>
      </c>
      <c r="B267" s="238">
        <v>200</v>
      </c>
      <c r="C267" s="238">
        <v>300</v>
      </c>
      <c r="D267" s="238">
        <v>200</v>
      </c>
      <c r="E267" s="238">
        <v>50</v>
      </c>
      <c r="F267" s="238">
        <v>0</v>
      </c>
      <c r="G267" s="361" t="s">
        <v>3450</v>
      </c>
      <c r="H267" s="42" t="s">
        <v>525</v>
      </c>
      <c r="I267" s="44" t="s">
        <v>526</v>
      </c>
      <c r="J267" s="44"/>
      <c r="K267" s="202">
        <f t="shared" si="4"/>
        <v>0</v>
      </c>
      <c r="L267" s="202">
        <v>0</v>
      </c>
      <c r="M267" s="202"/>
      <c r="N267" s="202">
        <v>0</v>
      </c>
      <c r="P267" s="424"/>
      <c r="Q267" s="424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37"/>
      <c r="GE267" s="37"/>
      <c r="GF267" s="37"/>
      <c r="GG267" s="37"/>
      <c r="GH267" s="37"/>
      <c r="GI267" s="37"/>
    </row>
    <row r="268" spans="1:191" ht="25.5">
      <c r="A268" s="394">
        <v>720</v>
      </c>
      <c r="B268" s="238">
        <v>200</v>
      </c>
      <c r="C268" s="238">
        <v>300</v>
      </c>
      <c r="D268" s="238">
        <v>200</v>
      </c>
      <c r="E268" s="238">
        <v>60</v>
      </c>
      <c r="F268" s="238">
        <v>0</v>
      </c>
      <c r="G268" s="361" t="s">
        <v>3451</v>
      </c>
      <c r="H268" s="42" t="s">
        <v>527</v>
      </c>
      <c r="I268" s="44" t="s">
        <v>528</v>
      </c>
      <c r="J268" s="44"/>
      <c r="K268" s="202">
        <f t="shared" si="4"/>
        <v>1221.8</v>
      </c>
      <c r="L268" s="202">
        <v>1221.8</v>
      </c>
      <c r="M268" s="202"/>
      <c r="N268" s="202">
        <v>5526.09</v>
      </c>
      <c r="P268" s="424"/>
      <c r="Q268" s="424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</row>
    <row r="269" spans="1:191">
      <c r="A269" s="394">
        <v>720</v>
      </c>
      <c r="B269" s="238">
        <v>200</v>
      </c>
      <c r="C269" s="238">
        <v>300</v>
      </c>
      <c r="D269" s="238">
        <v>200</v>
      </c>
      <c r="E269" s="238">
        <v>90</v>
      </c>
      <c r="F269" s="238">
        <v>0</v>
      </c>
      <c r="G269" s="361" t="s">
        <v>3452</v>
      </c>
      <c r="H269" s="42" t="s">
        <v>529</v>
      </c>
      <c r="I269" s="44" t="s">
        <v>530</v>
      </c>
      <c r="J269" s="44"/>
      <c r="K269" s="202">
        <f t="shared" si="4"/>
        <v>903102.15</v>
      </c>
      <c r="L269" s="202">
        <v>903102.15</v>
      </c>
      <c r="M269" s="202"/>
      <c r="N269" s="202">
        <v>58890.45</v>
      </c>
      <c r="P269" s="424"/>
      <c r="Q269" s="424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</row>
    <row r="270" spans="1:191" ht="13.5" thickBot="1">
      <c r="A270" s="397">
        <v>720</v>
      </c>
      <c r="B270" s="246">
        <v>200</v>
      </c>
      <c r="C270" s="246">
        <v>400</v>
      </c>
      <c r="D270" s="246">
        <v>0</v>
      </c>
      <c r="E270" s="246">
        <v>0</v>
      </c>
      <c r="F270" s="246">
        <v>0</v>
      </c>
      <c r="G270" s="368" t="s">
        <v>3453</v>
      </c>
      <c r="H270" s="48" t="s">
        <v>487</v>
      </c>
      <c r="I270" s="49" t="s">
        <v>531</v>
      </c>
      <c r="J270" s="49"/>
      <c r="K270" s="206">
        <f t="shared" si="4"/>
        <v>197.81</v>
      </c>
      <c r="L270" s="206">
        <v>197.81</v>
      </c>
      <c r="M270" s="206"/>
      <c r="N270" s="206">
        <v>20.67</v>
      </c>
      <c r="P270" s="424"/>
      <c r="Q270" s="424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</row>
    <row r="271" spans="1:191">
      <c r="A271" s="398"/>
      <c r="B271" s="398"/>
      <c r="C271" s="398"/>
      <c r="D271" s="398"/>
      <c r="E271" s="398"/>
      <c r="F271" s="398"/>
      <c r="G271" s="177"/>
      <c r="H271" s="43" t="s">
        <v>532</v>
      </c>
      <c r="I271" s="50"/>
      <c r="J271" s="50"/>
      <c r="K271" s="369">
        <f t="shared" ref="K271:N271" si="5">SUM(K5:K270)</f>
        <v>99367106.750000015</v>
      </c>
      <c r="L271" s="369">
        <f t="shared" si="5"/>
        <v>99367106.750000015</v>
      </c>
      <c r="M271" s="369">
        <f t="shared" si="5"/>
        <v>0</v>
      </c>
      <c r="N271" s="369">
        <f t="shared" si="5"/>
        <v>96265274.659999982</v>
      </c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</row>
    <row r="272" spans="1:191">
      <c r="A272" s="398"/>
      <c r="B272" s="398"/>
      <c r="C272" s="398"/>
      <c r="D272" s="398"/>
      <c r="E272" s="398"/>
      <c r="F272" s="398"/>
      <c r="G272" s="177"/>
      <c r="H272" s="43" t="s">
        <v>533</v>
      </c>
      <c r="I272" s="50"/>
      <c r="J272" s="50"/>
      <c r="K272" s="369">
        <f>+'Alimentazione CE Costi'!K1022</f>
        <v>99351507.023636401</v>
      </c>
      <c r="L272" s="369">
        <f>+'Alimentazione CE Costi'!L1022</f>
        <v>99351507.023636401</v>
      </c>
      <c r="M272" s="369">
        <f>+'Alimentazione CE Costi'!M1022</f>
        <v>0</v>
      </c>
      <c r="N272" s="369">
        <f>+'Alimentazione CE Costi'!N1022</f>
        <v>96118159.160000041</v>
      </c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</row>
    <row r="273" spans="1:191">
      <c r="A273" s="398"/>
      <c r="B273" s="398"/>
      <c r="C273" s="398"/>
      <c r="D273" s="398"/>
      <c r="E273" s="398"/>
      <c r="F273" s="398"/>
      <c r="G273" s="177"/>
      <c r="H273" s="43" t="s">
        <v>534</v>
      </c>
      <c r="I273" s="50"/>
      <c r="J273" s="50"/>
      <c r="K273" s="369">
        <f t="shared" ref="K273:N273" si="6">+K271-K272</f>
        <v>15599.726363614202</v>
      </c>
      <c r="L273" s="369">
        <f t="shared" si="6"/>
        <v>15599.726363614202</v>
      </c>
      <c r="M273" s="369">
        <f t="shared" si="6"/>
        <v>0</v>
      </c>
      <c r="N273" s="369">
        <f t="shared" si="6"/>
        <v>147115.4999999404</v>
      </c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</row>
    <row r="274" spans="1:191">
      <c r="A274" s="398"/>
      <c r="B274" s="398"/>
      <c r="C274" s="398"/>
      <c r="D274" s="398"/>
      <c r="E274" s="398"/>
      <c r="F274" s="398"/>
      <c r="G274" s="177"/>
      <c r="H274" s="43"/>
      <c r="I274" s="50"/>
      <c r="J274" s="50"/>
      <c r="K274" s="189"/>
      <c r="L274" s="189"/>
      <c r="M274" s="189"/>
      <c r="N274" s="189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</row>
    <row r="275" spans="1:191">
      <c r="A275" s="398"/>
      <c r="B275" s="398"/>
      <c r="C275" s="398"/>
      <c r="D275" s="398"/>
      <c r="E275" s="398"/>
      <c r="F275" s="398"/>
      <c r="G275" s="177"/>
      <c r="H275" s="43"/>
      <c r="I275" s="50"/>
      <c r="J275" s="50"/>
      <c r="K275" s="207"/>
      <c r="L275" s="207"/>
      <c r="M275" s="207"/>
      <c r="N275" s="20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</row>
    <row r="276" spans="1:191">
      <c r="A276" s="398"/>
      <c r="B276" s="398"/>
      <c r="C276" s="398"/>
      <c r="D276" s="398"/>
      <c r="E276" s="398"/>
      <c r="F276" s="398"/>
      <c r="G276" s="177"/>
      <c r="H276" s="43"/>
      <c r="I276" s="50"/>
      <c r="J276" s="50"/>
      <c r="K276" s="207"/>
      <c r="L276" s="207"/>
      <c r="M276" s="207"/>
      <c r="N276" s="20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</row>
    <row r="277" spans="1:191">
      <c r="A277" s="398"/>
      <c r="B277" s="398"/>
      <c r="C277" s="398"/>
      <c r="D277" s="398"/>
      <c r="E277" s="398"/>
      <c r="F277" s="398"/>
      <c r="G277" s="177"/>
      <c r="H277" s="43"/>
      <c r="I277" s="50"/>
      <c r="J277" s="50"/>
      <c r="K277" s="207"/>
      <c r="L277" s="207"/>
      <c r="M277" s="207"/>
      <c r="N277" s="20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</row>
    <row r="278" spans="1:191">
      <c r="A278" s="398"/>
      <c r="B278" s="398"/>
      <c r="C278" s="398"/>
      <c r="D278" s="398"/>
      <c r="E278" s="398"/>
      <c r="F278" s="398"/>
      <c r="G278" s="177"/>
      <c r="H278" s="43"/>
      <c r="I278" s="50"/>
      <c r="J278" s="50"/>
      <c r="K278" s="207"/>
      <c r="L278" s="207"/>
      <c r="M278" s="207"/>
      <c r="N278" s="20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</row>
    <row r="279" spans="1:191">
      <c r="A279" s="398"/>
      <c r="B279" s="398"/>
      <c r="C279" s="398"/>
      <c r="D279" s="398"/>
      <c r="E279" s="398"/>
      <c r="F279" s="398"/>
      <c r="G279" s="177"/>
      <c r="H279" s="43"/>
      <c r="I279" s="50"/>
      <c r="J279" s="50"/>
      <c r="K279" s="207"/>
      <c r="L279" s="207"/>
      <c r="M279" s="207"/>
      <c r="N279" s="20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  <c r="FE279" s="37"/>
      <c r="FF279" s="37"/>
      <c r="FG279" s="37"/>
      <c r="FH279" s="37"/>
      <c r="FI279" s="37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37"/>
      <c r="GE279" s="37"/>
      <c r="GF279" s="37"/>
      <c r="GG279" s="37"/>
      <c r="GH279" s="37"/>
      <c r="GI279" s="37"/>
    </row>
    <row r="280" spans="1:191">
      <c r="A280" s="398"/>
      <c r="B280" s="398"/>
      <c r="C280" s="398"/>
      <c r="D280" s="398"/>
      <c r="E280" s="398"/>
      <c r="F280" s="398"/>
      <c r="G280" s="177"/>
      <c r="H280" s="43"/>
      <c r="I280" s="50"/>
      <c r="J280" s="50"/>
      <c r="K280" s="207"/>
      <c r="L280" s="207"/>
      <c r="M280" s="207"/>
      <c r="N280" s="20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  <c r="FE280" s="37"/>
      <c r="FF280" s="37"/>
      <c r="FG280" s="37"/>
      <c r="FH280" s="37"/>
      <c r="FI280" s="37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37"/>
      <c r="GE280" s="37"/>
      <c r="GF280" s="37"/>
      <c r="GG280" s="37"/>
      <c r="GH280" s="37"/>
      <c r="GI280" s="37"/>
    </row>
    <row r="281" spans="1:191">
      <c r="A281" s="398"/>
      <c r="B281" s="398"/>
      <c r="C281" s="398"/>
      <c r="D281" s="398"/>
      <c r="E281" s="398"/>
      <c r="F281" s="398"/>
      <c r="G281" s="177"/>
      <c r="H281" s="43"/>
      <c r="I281" s="50"/>
      <c r="J281" s="50"/>
      <c r="K281" s="207"/>
      <c r="L281" s="207"/>
      <c r="M281" s="207"/>
      <c r="N281" s="20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  <c r="FE281" s="37"/>
      <c r="FF281" s="37"/>
      <c r="FG281" s="37"/>
      <c r="FH281" s="37"/>
      <c r="FI281" s="37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37"/>
      <c r="GE281" s="37"/>
      <c r="GF281" s="37"/>
      <c r="GG281" s="37"/>
      <c r="GH281" s="37"/>
      <c r="GI281" s="37"/>
    </row>
    <row r="282" spans="1:191">
      <c r="A282" s="398"/>
      <c r="B282" s="398"/>
      <c r="C282" s="398"/>
      <c r="D282" s="398"/>
      <c r="E282" s="398"/>
      <c r="F282" s="398"/>
      <c r="G282" s="177"/>
      <c r="H282" s="43"/>
      <c r="I282" s="50"/>
      <c r="J282" s="50"/>
      <c r="K282" s="207"/>
      <c r="L282" s="207"/>
      <c r="M282" s="207"/>
      <c r="N282" s="20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37"/>
      <c r="FK282" s="37"/>
      <c r="FL282" s="37"/>
      <c r="FM282" s="37"/>
      <c r="FN282" s="37"/>
      <c r="FO282" s="37"/>
      <c r="FP282" s="37"/>
      <c r="FQ282" s="37"/>
      <c r="FR282" s="37"/>
      <c r="FS282" s="37"/>
      <c r="FT282" s="37"/>
      <c r="FU282" s="37"/>
      <c r="FV282" s="37"/>
      <c r="FW282" s="37"/>
      <c r="FX282" s="37"/>
      <c r="FY282" s="37"/>
      <c r="FZ282" s="37"/>
      <c r="GA282" s="37"/>
      <c r="GB282" s="37"/>
      <c r="GC282" s="37"/>
      <c r="GD282" s="37"/>
      <c r="GE282" s="37"/>
      <c r="GF282" s="37"/>
      <c r="GG282" s="37"/>
      <c r="GH282" s="37"/>
      <c r="GI282" s="37"/>
    </row>
    <row r="283" spans="1:191">
      <c r="A283" s="398"/>
      <c r="B283" s="398"/>
      <c r="C283" s="398"/>
      <c r="D283" s="398"/>
      <c r="E283" s="398"/>
      <c r="F283" s="398"/>
      <c r="G283" s="177"/>
      <c r="H283" s="43"/>
      <c r="I283" s="50"/>
      <c r="J283" s="50"/>
      <c r="K283" s="207"/>
      <c r="L283" s="207"/>
      <c r="M283" s="207"/>
      <c r="N283" s="20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</row>
    <row r="284" spans="1:191">
      <c r="A284" s="398"/>
      <c r="B284" s="398"/>
      <c r="C284" s="398"/>
      <c r="D284" s="398"/>
      <c r="E284" s="398"/>
      <c r="F284" s="398"/>
      <c r="G284" s="177"/>
      <c r="H284" s="43"/>
      <c r="I284" s="50"/>
      <c r="J284" s="50"/>
      <c r="K284" s="207"/>
      <c r="L284" s="207"/>
      <c r="M284" s="207"/>
      <c r="N284" s="20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</row>
    <row r="285" spans="1:191">
      <c r="A285" s="398"/>
      <c r="B285" s="398"/>
      <c r="C285" s="398"/>
      <c r="D285" s="398"/>
      <c r="E285" s="398"/>
      <c r="F285" s="398"/>
      <c r="G285" s="177"/>
      <c r="H285" s="43"/>
      <c r="I285" s="50"/>
      <c r="J285" s="50"/>
      <c r="K285" s="207"/>
      <c r="L285" s="207"/>
      <c r="M285" s="207"/>
      <c r="N285" s="20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</row>
    <row r="286" spans="1:191">
      <c r="A286" s="398"/>
      <c r="B286" s="398"/>
      <c r="C286" s="398"/>
      <c r="D286" s="398"/>
      <c r="E286" s="398"/>
      <c r="F286" s="398"/>
      <c r="G286" s="177"/>
      <c r="H286" s="43"/>
      <c r="I286" s="50"/>
      <c r="J286" s="50"/>
      <c r="K286" s="207"/>
      <c r="L286" s="207"/>
      <c r="M286" s="207"/>
      <c r="N286" s="20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</row>
    <row r="287" spans="1:191">
      <c r="A287" s="398"/>
      <c r="B287" s="398"/>
      <c r="C287" s="398"/>
      <c r="D287" s="398"/>
      <c r="E287" s="398"/>
      <c r="F287" s="398"/>
      <c r="G287" s="177"/>
      <c r="H287" s="43"/>
      <c r="I287" s="50"/>
      <c r="J287" s="50"/>
      <c r="K287" s="207"/>
      <c r="L287" s="207"/>
      <c r="M287" s="207"/>
      <c r="N287" s="20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  <c r="FE287" s="37"/>
      <c r="FF287" s="37"/>
      <c r="FG287" s="37"/>
      <c r="FH287" s="37"/>
      <c r="FI287" s="37"/>
      <c r="FJ287" s="37"/>
      <c r="FK287" s="37"/>
      <c r="FL287" s="37"/>
      <c r="FM287" s="37"/>
      <c r="FN287" s="37"/>
      <c r="FO287" s="37"/>
      <c r="FP287" s="37"/>
      <c r="FQ287" s="37"/>
      <c r="FR287" s="37"/>
      <c r="FS287" s="37"/>
      <c r="FT287" s="37"/>
      <c r="FU287" s="37"/>
      <c r="FV287" s="37"/>
      <c r="FW287" s="37"/>
      <c r="FX287" s="37"/>
      <c r="FY287" s="37"/>
      <c r="FZ287" s="37"/>
      <c r="GA287" s="37"/>
      <c r="GB287" s="37"/>
      <c r="GC287" s="37"/>
      <c r="GD287" s="37"/>
      <c r="GE287" s="37"/>
      <c r="GF287" s="37"/>
      <c r="GG287" s="37"/>
      <c r="GH287" s="37"/>
      <c r="GI287" s="37"/>
    </row>
    <row r="288" spans="1:191">
      <c r="A288" s="398"/>
      <c r="B288" s="398"/>
      <c r="C288" s="398"/>
      <c r="D288" s="398"/>
      <c r="E288" s="398"/>
      <c r="F288" s="398"/>
      <c r="G288" s="177"/>
      <c r="H288" s="43"/>
      <c r="I288" s="50"/>
      <c r="J288" s="50"/>
      <c r="K288" s="207"/>
      <c r="L288" s="207"/>
      <c r="M288" s="207"/>
      <c r="N288" s="20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  <c r="FV288" s="37"/>
      <c r="FW288" s="37"/>
      <c r="FX288" s="37"/>
      <c r="FY288" s="37"/>
      <c r="FZ288" s="37"/>
      <c r="GA288" s="37"/>
      <c r="GB288" s="37"/>
      <c r="GC288" s="37"/>
      <c r="GD288" s="37"/>
      <c r="GE288" s="37"/>
      <c r="GF288" s="37"/>
      <c r="GG288" s="37"/>
      <c r="GH288" s="37"/>
      <c r="GI288" s="37"/>
    </row>
    <row r="289" spans="1:191">
      <c r="A289" s="398"/>
      <c r="B289" s="398"/>
      <c r="C289" s="398"/>
      <c r="D289" s="398"/>
      <c r="E289" s="398"/>
      <c r="F289" s="398"/>
      <c r="G289" s="177"/>
      <c r="H289" s="43"/>
      <c r="I289" s="50"/>
      <c r="J289" s="50"/>
      <c r="K289" s="207"/>
      <c r="L289" s="207"/>
      <c r="M289" s="207"/>
      <c r="N289" s="20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</row>
    <row r="290" spans="1:191">
      <c r="A290" s="398"/>
      <c r="B290" s="398"/>
      <c r="C290" s="398"/>
      <c r="D290" s="398"/>
      <c r="E290" s="398"/>
      <c r="F290" s="398"/>
      <c r="G290" s="177"/>
      <c r="H290" s="43"/>
      <c r="I290" s="50"/>
      <c r="J290" s="50"/>
      <c r="K290" s="207"/>
      <c r="L290" s="207"/>
      <c r="M290" s="207"/>
      <c r="N290" s="20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  <c r="FZ290" s="37"/>
      <c r="GA290" s="37"/>
      <c r="GB290" s="37"/>
      <c r="GC290" s="37"/>
      <c r="GD290" s="37"/>
      <c r="GE290" s="37"/>
      <c r="GF290" s="37"/>
      <c r="GG290" s="37"/>
      <c r="GH290" s="37"/>
      <c r="GI290" s="37"/>
    </row>
    <row r="291" spans="1:191">
      <c r="A291" s="398"/>
      <c r="B291" s="398"/>
      <c r="C291" s="398"/>
      <c r="D291" s="398"/>
      <c r="E291" s="398"/>
      <c r="F291" s="398"/>
      <c r="G291" s="177"/>
      <c r="H291" s="43"/>
      <c r="I291" s="50"/>
      <c r="J291" s="50"/>
      <c r="K291" s="207"/>
      <c r="L291" s="207"/>
      <c r="M291" s="207"/>
      <c r="N291" s="20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</row>
    <row r="292" spans="1:191">
      <c r="A292" s="398"/>
      <c r="B292" s="398"/>
      <c r="C292" s="398"/>
      <c r="D292" s="398"/>
      <c r="E292" s="398"/>
      <c r="F292" s="398"/>
      <c r="G292" s="177"/>
      <c r="H292" s="43"/>
      <c r="I292" s="50"/>
      <c r="J292" s="50"/>
      <c r="K292" s="207"/>
      <c r="L292" s="207"/>
      <c r="M292" s="207"/>
      <c r="N292" s="20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</row>
    <row r="293" spans="1:191">
      <c r="A293" s="398"/>
      <c r="B293" s="398"/>
      <c r="C293" s="398"/>
      <c r="D293" s="398"/>
      <c r="E293" s="398"/>
      <c r="F293" s="398"/>
      <c r="G293" s="177"/>
      <c r="H293" s="43"/>
      <c r="I293" s="50"/>
      <c r="J293" s="50"/>
      <c r="K293" s="207"/>
      <c r="L293" s="207"/>
      <c r="M293" s="207"/>
      <c r="N293" s="20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</row>
    <row r="294" spans="1:191">
      <c r="A294" s="398"/>
      <c r="B294" s="398"/>
      <c r="C294" s="398"/>
      <c r="D294" s="398"/>
      <c r="E294" s="398"/>
      <c r="F294" s="398"/>
      <c r="G294" s="177"/>
      <c r="H294" s="43"/>
      <c r="I294" s="50"/>
      <c r="J294" s="50"/>
      <c r="K294" s="207"/>
      <c r="L294" s="207"/>
      <c r="M294" s="207"/>
      <c r="N294" s="20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  <c r="FZ294" s="37"/>
      <c r="GA294" s="37"/>
      <c r="GB294" s="37"/>
      <c r="GC294" s="37"/>
      <c r="GD294" s="37"/>
      <c r="GE294" s="37"/>
      <c r="GF294" s="37"/>
      <c r="GG294" s="37"/>
      <c r="GH294" s="37"/>
      <c r="GI294" s="37"/>
    </row>
    <row r="295" spans="1:191">
      <c r="A295" s="398"/>
      <c r="B295" s="398"/>
      <c r="C295" s="398"/>
      <c r="D295" s="398"/>
      <c r="E295" s="398"/>
      <c r="F295" s="398"/>
      <c r="G295" s="177"/>
      <c r="H295" s="43"/>
      <c r="I295" s="50"/>
      <c r="J295" s="50"/>
      <c r="K295" s="207"/>
      <c r="L295" s="207"/>
      <c r="M295" s="207"/>
      <c r="N295" s="20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  <c r="FZ295" s="37"/>
      <c r="GA295" s="37"/>
      <c r="GB295" s="37"/>
      <c r="GC295" s="37"/>
      <c r="GD295" s="37"/>
      <c r="GE295" s="37"/>
      <c r="GF295" s="37"/>
      <c r="GG295" s="37"/>
      <c r="GH295" s="37"/>
      <c r="GI295" s="37"/>
    </row>
    <row r="296" spans="1:191">
      <c r="A296" s="398"/>
      <c r="B296" s="398"/>
      <c r="C296" s="398"/>
      <c r="D296" s="398"/>
      <c r="E296" s="398"/>
      <c r="F296" s="398"/>
      <c r="G296" s="177"/>
      <c r="H296" s="43"/>
      <c r="I296" s="50"/>
      <c r="J296" s="50"/>
      <c r="K296" s="207"/>
      <c r="L296" s="207"/>
      <c r="M296" s="207"/>
      <c r="N296" s="20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  <c r="FZ296" s="37"/>
      <c r="GA296" s="37"/>
      <c r="GB296" s="37"/>
      <c r="GC296" s="37"/>
      <c r="GD296" s="37"/>
      <c r="GE296" s="37"/>
      <c r="GF296" s="37"/>
      <c r="GG296" s="37"/>
      <c r="GH296" s="37"/>
      <c r="GI296" s="37"/>
    </row>
    <row r="297" spans="1:191">
      <c r="A297" s="398"/>
      <c r="B297" s="398"/>
      <c r="C297" s="398"/>
      <c r="D297" s="398"/>
      <c r="E297" s="398"/>
      <c r="F297" s="398"/>
      <c r="G297" s="177"/>
      <c r="H297" s="43"/>
      <c r="I297" s="50"/>
      <c r="J297" s="50"/>
      <c r="K297" s="207"/>
      <c r="L297" s="207"/>
      <c r="M297" s="207"/>
      <c r="N297" s="20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</row>
    <row r="298" spans="1:191">
      <c r="A298" s="398"/>
      <c r="B298" s="398"/>
      <c r="C298" s="398"/>
      <c r="D298" s="398"/>
      <c r="E298" s="398"/>
      <c r="F298" s="398"/>
      <c r="G298" s="177"/>
      <c r="H298" s="43"/>
      <c r="I298" s="50"/>
      <c r="J298" s="50"/>
      <c r="K298" s="207"/>
      <c r="L298" s="207"/>
      <c r="M298" s="207"/>
      <c r="N298" s="20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</row>
    <row r="299" spans="1:191">
      <c r="A299" s="398"/>
      <c r="B299" s="398"/>
      <c r="C299" s="398"/>
      <c r="D299" s="398"/>
      <c r="E299" s="398"/>
      <c r="F299" s="398"/>
      <c r="G299" s="177"/>
      <c r="H299" s="43"/>
      <c r="I299" s="50"/>
      <c r="J299" s="50"/>
      <c r="K299" s="207"/>
      <c r="L299" s="207"/>
      <c r="M299" s="207"/>
      <c r="N299" s="20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37"/>
      <c r="GE299" s="37"/>
      <c r="GF299" s="37"/>
      <c r="GG299" s="37"/>
      <c r="GH299" s="37"/>
      <c r="GI299" s="37"/>
    </row>
    <row r="300" spans="1:191">
      <c r="A300" s="398"/>
      <c r="B300" s="398"/>
      <c r="C300" s="398"/>
      <c r="D300" s="398"/>
      <c r="E300" s="398"/>
      <c r="F300" s="398"/>
      <c r="G300" s="177"/>
      <c r="H300" s="43"/>
      <c r="I300" s="50"/>
      <c r="J300" s="50"/>
      <c r="K300" s="207"/>
      <c r="L300" s="207"/>
      <c r="M300" s="207"/>
      <c r="N300" s="20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  <c r="FE300" s="37"/>
      <c r="FF300" s="37"/>
      <c r="FG300" s="37"/>
      <c r="FH300" s="37"/>
      <c r="FI300" s="37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37"/>
      <c r="GE300" s="37"/>
      <c r="GF300" s="37"/>
      <c r="GG300" s="37"/>
      <c r="GH300" s="37"/>
      <c r="GI300" s="37"/>
    </row>
    <row r="301" spans="1:191">
      <c r="A301" s="398"/>
      <c r="B301" s="398"/>
      <c r="C301" s="398"/>
      <c r="D301" s="398"/>
      <c r="E301" s="398"/>
      <c r="F301" s="398"/>
      <c r="G301" s="177"/>
      <c r="H301" s="43"/>
      <c r="I301" s="50"/>
      <c r="J301" s="50"/>
      <c r="K301" s="207"/>
      <c r="L301" s="207"/>
      <c r="M301" s="207"/>
      <c r="N301" s="20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  <c r="FE301" s="37"/>
      <c r="FF301" s="37"/>
      <c r="FG301" s="37"/>
      <c r="FH301" s="37"/>
      <c r="FI301" s="37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37"/>
      <c r="GE301" s="37"/>
      <c r="GF301" s="37"/>
      <c r="GG301" s="37"/>
      <c r="GH301" s="37"/>
      <c r="GI301" s="37"/>
    </row>
    <row r="302" spans="1:191">
      <c r="A302" s="398"/>
      <c r="B302" s="398"/>
      <c r="C302" s="398"/>
      <c r="D302" s="398"/>
      <c r="E302" s="398"/>
      <c r="F302" s="398"/>
      <c r="G302" s="177"/>
      <c r="H302" s="43"/>
      <c r="I302" s="50"/>
      <c r="J302" s="50"/>
      <c r="K302" s="207"/>
      <c r="L302" s="207"/>
      <c r="M302" s="207"/>
      <c r="N302" s="20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</row>
    <row r="303" spans="1:191">
      <c r="A303" s="398"/>
      <c r="B303" s="398"/>
      <c r="C303" s="398"/>
      <c r="D303" s="398"/>
      <c r="E303" s="398"/>
      <c r="F303" s="398"/>
      <c r="G303" s="177"/>
      <c r="H303" s="43"/>
      <c r="I303" s="50"/>
      <c r="J303" s="50"/>
      <c r="K303" s="207"/>
      <c r="L303" s="207"/>
      <c r="M303" s="207"/>
      <c r="N303" s="20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  <c r="FE303" s="37"/>
      <c r="FF303" s="37"/>
      <c r="FG303" s="37"/>
      <c r="FH303" s="37"/>
      <c r="FI303" s="37"/>
      <c r="FJ303" s="37"/>
      <c r="FK303" s="37"/>
      <c r="FL303" s="37"/>
      <c r="FM303" s="37"/>
      <c r="FN303" s="37"/>
      <c r="FO303" s="37"/>
      <c r="FP303" s="37"/>
      <c r="FQ303" s="37"/>
      <c r="FR303" s="37"/>
      <c r="FS303" s="37"/>
      <c r="FT303" s="37"/>
      <c r="FU303" s="37"/>
      <c r="FV303" s="37"/>
      <c r="FW303" s="37"/>
      <c r="FX303" s="37"/>
      <c r="FY303" s="37"/>
      <c r="FZ303" s="37"/>
      <c r="GA303" s="37"/>
      <c r="GB303" s="37"/>
      <c r="GC303" s="37"/>
      <c r="GD303" s="37"/>
      <c r="GE303" s="37"/>
      <c r="GF303" s="37"/>
      <c r="GG303" s="37"/>
      <c r="GH303" s="37"/>
      <c r="GI303" s="37"/>
    </row>
    <row r="304" spans="1:191">
      <c r="A304" s="398"/>
      <c r="B304" s="398"/>
      <c r="C304" s="398"/>
      <c r="D304" s="398"/>
      <c r="E304" s="398"/>
      <c r="F304" s="398"/>
      <c r="G304" s="177"/>
      <c r="H304" s="43"/>
      <c r="I304" s="50"/>
      <c r="J304" s="50"/>
      <c r="K304" s="207"/>
      <c r="L304" s="207"/>
      <c r="M304" s="207"/>
      <c r="N304" s="20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  <c r="FE304" s="37"/>
      <c r="FF304" s="37"/>
      <c r="FG304" s="37"/>
      <c r="FH304" s="37"/>
      <c r="FI304" s="37"/>
      <c r="FJ304" s="37"/>
      <c r="FK304" s="37"/>
      <c r="FL304" s="37"/>
      <c r="FM304" s="37"/>
      <c r="FN304" s="37"/>
      <c r="FO304" s="37"/>
      <c r="FP304" s="37"/>
      <c r="FQ304" s="37"/>
      <c r="FR304" s="37"/>
      <c r="FS304" s="37"/>
      <c r="FT304" s="37"/>
      <c r="FU304" s="37"/>
      <c r="FV304" s="37"/>
      <c r="FW304" s="37"/>
      <c r="FX304" s="37"/>
      <c r="FY304" s="37"/>
      <c r="FZ304" s="37"/>
      <c r="GA304" s="37"/>
      <c r="GB304" s="37"/>
      <c r="GC304" s="37"/>
      <c r="GD304" s="37"/>
      <c r="GE304" s="37"/>
      <c r="GF304" s="37"/>
      <c r="GG304" s="37"/>
      <c r="GH304" s="37"/>
      <c r="GI304" s="37"/>
    </row>
    <row r="305" spans="1:191">
      <c r="A305" s="398"/>
      <c r="B305" s="398"/>
      <c r="C305" s="398"/>
      <c r="D305" s="398"/>
      <c r="E305" s="398"/>
      <c r="F305" s="398"/>
      <c r="G305" s="177"/>
      <c r="H305" s="43"/>
      <c r="I305" s="50"/>
      <c r="J305" s="50"/>
      <c r="K305" s="207"/>
      <c r="L305" s="207"/>
      <c r="M305" s="207"/>
      <c r="N305" s="20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  <c r="FE305" s="37"/>
      <c r="FF305" s="37"/>
      <c r="FG305" s="37"/>
      <c r="FH305" s="37"/>
      <c r="FI305" s="37"/>
      <c r="FJ305" s="37"/>
      <c r="FK305" s="37"/>
      <c r="FL305" s="37"/>
      <c r="FM305" s="37"/>
      <c r="FN305" s="37"/>
      <c r="FO305" s="37"/>
      <c r="FP305" s="37"/>
      <c r="FQ305" s="37"/>
      <c r="FR305" s="37"/>
      <c r="FS305" s="37"/>
      <c r="FT305" s="37"/>
      <c r="FU305" s="37"/>
      <c r="FV305" s="37"/>
      <c r="FW305" s="37"/>
      <c r="FX305" s="37"/>
      <c r="FY305" s="37"/>
      <c r="FZ305" s="37"/>
      <c r="GA305" s="37"/>
      <c r="GB305" s="37"/>
      <c r="GC305" s="37"/>
      <c r="GD305" s="37"/>
      <c r="GE305" s="37"/>
      <c r="GF305" s="37"/>
      <c r="GG305" s="37"/>
      <c r="GH305" s="37"/>
      <c r="GI305" s="37"/>
    </row>
    <row r="306" spans="1:191">
      <c r="A306" s="398"/>
      <c r="B306" s="398"/>
      <c r="C306" s="398"/>
      <c r="D306" s="398"/>
      <c r="E306" s="398"/>
      <c r="F306" s="398"/>
      <c r="G306" s="177"/>
      <c r="H306" s="43"/>
      <c r="I306" s="50"/>
      <c r="J306" s="50"/>
      <c r="K306" s="207"/>
      <c r="L306" s="207"/>
      <c r="M306" s="207"/>
      <c r="N306" s="20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  <c r="FE306" s="37"/>
      <c r="FF306" s="37"/>
      <c r="FG306" s="37"/>
      <c r="FH306" s="37"/>
      <c r="FI306" s="37"/>
      <c r="FJ306" s="37"/>
      <c r="FK306" s="37"/>
      <c r="FL306" s="37"/>
      <c r="FM306" s="37"/>
      <c r="FN306" s="37"/>
      <c r="FO306" s="37"/>
      <c r="FP306" s="37"/>
      <c r="FQ306" s="37"/>
      <c r="FR306" s="37"/>
      <c r="FS306" s="37"/>
      <c r="FT306" s="37"/>
      <c r="FU306" s="37"/>
      <c r="FV306" s="37"/>
      <c r="FW306" s="37"/>
      <c r="FX306" s="37"/>
      <c r="FY306" s="37"/>
      <c r="FZ306" s="37"/>
      <c r="GA306" s="37"/>
      <c r="GB306" s="37"/>
      <c r="GC306" s="37"/>
      <c r="GD306" s="37"/>
      <c r="GE306" s="37"/>
      <c r="GF306" s="37"/>
      <c r="GG306" s="37"/>
      <c r="GH306" s="37"/>
      <c r="GI306" s="37"/>
    </row>
    <row r="307" spans="1:191">
      <c r="A307" s="398"/>
      <c r="B307" s="398"/>
      <c r="C307" s="398"/>
      <c r="D307" s="398"/>
      <c r="E307" s="398"/>
      <c r="F307" s="398"/>
      <c r="G307" s="177"/>
      <c r="H307" s="43"/>
      <c r="I307" s="50"/>
      <c r="J307" s="50"/>
      <c r="K307" s="189"/>
      <c r="L307" s="189"/>
      <c r="M307" s="189"/>
      <c r="N307" s="189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</row>
    <row r="308" spans="1:191">
      <c r="A308" s="398"/>
      <c r="B308" s="398"/>
      <c r="C308" s="398"/>
      <c r="D308" s="398"/>
      <c r="E308" s="398"/>
      <c r="F308" s="398"/>
      <c r="G308" s="177"/>
      <c r="H308" s="43"/>
      <c r="I308" s="50"/>
      <c r="J308" s="50"/>
      <c r="K308" s="189"/>
      <c r="L308" s="189"/>
      <c r="M308" s="189"/>
      <c r="N308" s="189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</row>
    <row r="309" spans="1:191">
      <c r="A309" s="398"/>
      <c r="B309" s="398"/>
      <c r="C309" s="398"/>
      <c r="D309" s="398"/>
      <c r="E309" s="398"/>
      <c r="F309" s="398"/>
      <c r="G309" s="177"/>
      <c r="H309" s="43"/>
      <c r="I309" s="50"/>
      <c r="J309" s="50"/>
      <c r="K309" s="189"/>
      <c r="L309" s="189"/>
      <c r="M309" s="189"/>
      <c r="N309" s="189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</row>
    <row r="310" spans="1:191">
      <c r="A310" s="398"/>
      <c r="B310" s="398"/>
      <c r="C310" s="398"/>
      <c r="D310" s="398"/>
      <c r="E310" s="398"/>
      <c r="F310" s="398"/>
      <c r="G310" s="177"/>
      <c r="H310" s="43"/>
      <c r="I310" s="50"/>
      <c r="J310" s="50"/>
      <c r="K310" s="189"/>
      <c r="L310" s="189"/>
      <c r="M310" s="189"/>
      <c r="N310" s="189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</row>
    <row r="311" spans="1:191">
      <c r="A311" s="398"/>
      <c r="B311" s="398"/>
      <c r="C311" s="398"/>
      <c r="D311" s="398"/>
      <c r="E311" s="398"/>
      <c r="F311" s="398"/>
      <c r="G311" s="177"/>
      <c r="H311" s="43"/>
      <c r="I311" s="50"/>
      <c r="J311" s="50"/>
      <c r="K311" s="189"/>
      <c r="L311" s="189"/>
      <c r="M311" s="189"/>
      <c r="N311" s="189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</row>
    <row r="312" spans="1:191">
      <c r="A312" s="398"/>
      <c r="B312" s="398"/>
      <c r="C312" s="398"/>
      <c r="D312" s="398"/>
      <c r="E312" s="398"/>
      <c r="F312" s="398"/>
      <c r="G312" s="177"/>
      <c r="H312" s="43"/>
      <c r="I312" s="50"/>
      <c r="J312" s="50"/>
      <c r="K312" s="189"/>
      <c r="L312" s="189"/>
      <c r="M312" s="189"/>
      <c r="N312" s="189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</row>
    <row r="313" spans="1:191">
      <c r="A313" s="398"/>
      <c r="B313" s="398"/>
      <c r="C313" s="398"/>
      <c r="D313" s="398"/>
      <c r="E313" s="398"/>
      <c r="F313" s="398"/>
      <c r="G313" s="177"/>
      <c r="H313" s="43"/>
      <c r="I313" s="50"/>
      <c r="J313" s="50"/>
      <c r="K313" s="189"/>
      <c r="L313" s="189"/>
      <c r="M313" s="189"/>
      <c r="N313" s="189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</row>
    <row r="314" spans="1:191">
      <c r="A314" s="398"/>
      <c r="B314" s="398"/>
      <c r="C314" s="398"/>
      <c r="D314" s="398"/>
      <c r="E314" s="398"/>
      <c r="F314" s="398"/>
      <c r="G314" s="177"/>
      <c r="H314" s="43"/>
      <c r="I314" s="50"/>
      <c r="J314" s="50"/>
      <c r="K314" s="189"/>
      <c r="L314" s="189"/>
      <c r="M314" s="189"/>
      <c r="N314" s="189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  <c r="FT314" s="37"/>
      <c r="FU314" s="37"/>
      <c r="FV314" s="37"/>
      <c r="FW314" s="37"/>
      <c r="FX314" s="37"/>
      <c r="FY314" s="37"/>
      <c r="FZ314" s="37"/>
      <c r="GA314" s="37"/>
      <c r="GB314" s="37"/>
      <c r="GC314" s="37"/>
      <c r="GD314" s="37"/>
      <c r="GE314" s="37"/>
      <c r="GF314" s="37"/>
      <c r="GG314" s="37"/>
      <c r="GH314" s="37"/>
      <c r="GI314" s="37"/>
    </row>
    <row r="315" spans="1:191">
      <c r="A315" s="398"/>
      <c r="B315" s="398"/>
      <c r="C315" s="398"/>
      <c r="D315" s="398"/>
      <c r="E315" s="398"/>
      <c r="F315" s="398"/>
      <c r="G315" s="177"/>
      <c r="H315" s="43"/>
      <c r="I315" s="50"/>
      <c r="J315" s="50"/>
      <c r="K315" s="189"/>
      <c r="L315" s="189"/>
      <c r="M315" s="189"/>
      <c r="N315" s="189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  <c r="FT315" s="37"/>
      <c r="FU315" s="37"/>
      <c r="FV315" s="37"/>
      <c r="FW315" s="37"/>
      <c r="FX315" s="37"/>
      <c r="FY315" s="37"/>
      <c r="FZ315" s="37"/>
      <c r="GA315" s="37"/>
      <c r="GB315" s="37"/>
      <c r="GC315" s="37"/>
      <c r="GD315" s="37"/>
      <c r="GE315" s="37"/>
      <c r="GF315" s="37"/>
      <c r="GG315" s="37"/>
      <c r="GH315" s="37"/>
      <c r="GI315" s="37"/>
    </row>
    <row r="316" spans="1:191">
      <c r="A316" s="398"/>
      <c r="B316" s="398"/>
      <c r="C316" s="398"/>
      <c r="D316" s="398"/>
      <c r="E316" s="398"/>
      <c r="F316" s="398"/>
      <c r="G316" s="177"/>
      <c r="H316" s="43"/>
      <c r="I316" s="50"/>
      <c r="J316" s="50"/>
      <c r="K316" s="189"/>
      <c r="L316" s="189"/>
      <c r="M316" s="189"/>
      <c r="N316" s="189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</row>
    <row r="317" spans="1:191">
      <c r="A317" s="398"/>
      <c r="B317" s="398"/>
      <c r="C317" s="398"/>
      <c r="D317" s="398"/>
      <c r="E317" s="398"/>
      <c r="F317" s="398"/>
      <c r="G317" s="177"/>
      <c r="H317" s="43"/>
      <c r="I317" s="50"/>
      <c r="J317" s="50"/>
      <c r="K317" s="189"/>
      <c r="L317" s="189"/>
      <c r="M317" s="189"/>
      <c r="N317" s="189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</row>
    <row r="318" spans="1:191">
      <c r="A318" s="398"/>
      <c r="B318" s="398"/>
      <c r="C318" s="398"/>
      <c r="D318" s="398"/>
      <c r="E318" s="398"/>
      <c r="F318" s="398"/>
      <c r="G318" s="177"/>
      <c r="H318" s="43"/>
      <c r="I318" s="50"/>
      <c r="J318" s="50"/>
      <c r="K318" s="189"/>
      <c r="L318" s="189"/>
      <c r="M318" s="189"/>
      <c r="N318" s="189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</row>
    <row r="319" spans="1:191">
      <c r="A319" s="398"/>
      <c r="B319" s="398"/>
      <c r="C319" s="398"/>
      <c r="D319" s="398"/>
      <c r="E319" s="398"/>
      <c r="F319" s="398"/>
      <c r="G319" s="177"/>
      <c r="H319" s="43"/>
      <c r="I319" s="50"/>
      <c r="J319" s="50"/>
      <c r="K319" s="189"/>
      <c r="L319" s="189"/>
      <c r="M319" s="189"/>
      <c r="N319" s="189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</row>
    <row r="320" spans="1:191">
      <c r="A320" s="398"/>
      <c r="B320" s="398"/>
      <c r="C320" s="398"/>
      <c r="D320" s="398"/>
      <c r="E320" s="398"/>
      <c r="F320" s="398"/>
      <c r="G320" s="177"/>
      <c r="H320" s="43"/>
      <c r="I320" s="50"/>
      <c r="J320" s="50"/>
      <c r="K320" s="189"/>
      <c r="L320" s="189"/>
      <c r="M320" s="189"/>
      <c r="N320" s="189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  <c r="FT320" s="37"/>
      <c r="FU320" s="37"/>
      <c r="FV320" s="37"/>
      <c r="FW320" s="37"/>
      <c r="FX320" s="37"/>
      <c r="FY320" s="37"/>
      <c r="FZ320" s="37"/>
      <c r="GA320" s="37"/>
      <c r="GB320" s="37"/>
      <c r="GC320" s="37"/>
      <c r="GD320" s="37"/>
      <c r="GE320" s="37"/>
      <c r="GF320" s="37"/>
      <c r="GG320" s="37"/>
      <c r="GH320" s="37"/>
      <c r="GI320" s="37"/>
    </row>
    <row r="321" spans="1:191">
      <c r="A321" s="398"/>
      <c r="B321" s="398"/>
      <c r="C321" s="398"/>
      <c r="D321" s="398"/>
      <c r="E321" s="398"/>
      <c r="F321" s="398"/>
      <c r="G321" s="177"/>
      <c r="H321" s="43"/>
      <c r="I321" s="50"/>
      <c r="J321" s="50"/>
      <c r="K321" s="189"/>
      <c r="L321" s="189"/>
      <c r="M321" s="189"/>
      <c r="N321" s="189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</row>
    <row r="322" spans="1:191">
      <c r="A322" s="398"/>
      <c r="B322" s="398"/>
      <c r="C322" s="398"/>
      <c r="D322" s="398"/>
      <c r="E322" s="398"/>
      <c r="F322" s="398"/>
      <c r="G322" s="177"/>
      <c r="H322" s="43"/>
      <c r="I322" s="50"/>
      <c r="J322" s="50"/>
      <c r="K322" s="189"/>
      <c r="L322" s="189"/>
      <c r="M322" s="189"/>
      <c r="N322" s="189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  <c r="FT322" s="37"/>
      <c r="FU322" s="37"/>
      <c r="FV322" s="37"/>
      <c r="FW322" s="37"/>
      <c r="FX322" s="37"/>
      <c r="FY322" s="37"/>
      <c r="FZ322" s="37"/>
      <c r="GA322" s="37"/>
      <c r="GB322" s="37"/>
      <c r="GC322" s="37"/>
      <c r="GD322" s="37"/>
      <c r="GE322" s="37"/>
      <c r="GF322" s="37"/>
      <c r="GG322" s="37"/>
      <c r="GH322" s="37"/>
      <c r="GI322" s="37"/>
    </row>
    <row r="323" spans="1:191">
      <c r="A323" s="398"/>
      <c r="B323" s="398"/>
      <c r="C323" s="398"/>
      <c r="D323" s="398"/>
      <c r="E323" s="398"/>
      <c r="F323" s="398"/>
      <c r="G323" s="177"/>
      <c r="H323" s="43"/>
      <c r="I323" s="50"/>
      <c r="J323" s="50"/>
      <c r="K323" s="189"/>
      <c r="L323" s="189"/>
      <c r="M323" s="189"/>
      <c r="N323" s="189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</row>
    <row r="324" spans="1:191">
      <c r="A324" s="398"/>
      <c r="B324" s="398"/>
      <c r="C324" s="398"/>
      <c r="D324" s="398"/>
      <c r="E324" s="398"/>
      <c r="F324" s="398"/>
      <c r="G324" s="177"/>
      <c r="H324" s="43"/>
      <c r="I324" s="50"/>
      <c r="J324" s="50"/>
      <c r="K324" s="189"/>
      <c r="L324" s="189"/>
      <c r="M324" s="189"/>
      <c r="N324" s="189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</row>
    <row r="325" spans="1:191">
      <c r="A325" s="398"/>
      <c r="B325" s="398"/>
      <c r="C325" s="398"/>
      <c r="D325" s="398"/>
      <c r="E325" s="398"/>
      <c r="F325" s="398"/>
      <c r="G325" s="177"/>
      <c r="H325" s="43"/>
      <c r="I325" s="50"/>
      <c r="J325" s="50"/>
      <c r="K325" s="189"/>
      <c r="L325" s="189"/>
      <c r="M325" s="189"/>
      <c r="N325" s="189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</row>
    <row r="326" spans="1:191">
      <c r="A326" s="398"/>
      <c r="B326" s="398"/>
      <c r="C326" s="398"/>
      <c r="D326" s="398"/>
      <c r="E326" s="398"/>
      <c r="F326" s="398"/>
      <c r="G326" s="177"/>
      <c r="H326" s="43"/>
      <c r="I326" s="50"/>
      <c r="J326" s="50"/>
      <c r="K326" s="189"/>
      <c r="L326" s="189"/>
      <c r="M326" s="189"/>
      <c r="N326" s="189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</row>
    <row r="327" spans="1:191">
      <c r="A327" s="398"/>
      <c r="B327" s="398"/>
      <c r="C327" s="398"/>
      <c r="D327" s="398"/>
      <c r="E327" s="398"/>
      <c r="F327" s="398"/>
      <c r="G327" s="177"/>
      <c r="H327" s="43"/>
      <c r="I327" s="50"/>
      <c r="J327" s="50"/>
      <c r="K327" s="189"/>
      <c r="L327" s="189"/>
      <c r="M327" s="189"/>
      <c r="N327" s="189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</row>
    <row r="328" spans="1:191">
      <c r="A328" s="398"/>
      <c r="B328" s="398"/>
      <c r="C328" s="398"/>
      <c r="D328" s="398"/>
      <c r="E328" s="398"/>
      <c r="F328" s="398"/>
      <c r="G328" s="177"/>
      <c r="H328" s="43"/>
      <c r="I328" s="50"/>
      <c r="J328" s="50"/>
      <c r="K328" s="189"/>
      <c r="L328" s="189"/>
      <c r="M328" s="189"/>
      <c r="N328" s="189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</row>
    <row r="329" spans="1:191">
      <c r="A329" s="398"/>
      <c r="B329" s="398"/>
      <c r="C329" s="398"/>
      <c r="D329" s="398"/>
      <c r="E329" s="398"/>
      <c r="F329" s="398"/>
      <c r="G329" s="177"/>
      <c r="H329" s="43"/>
      <c r="I329" s="50"/>
      <c r="J329" s="50"/>
      <c r="K329" s="189"/>
      <c r="L329" s="189"/>
      <c r="M329" s="189"/>
      <c r="N329" s="189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</row>
    <row r="330" spans="1:191">
      <c r="A330" s="398"/>
      <c r="B330" s="398"/>
      <c r="C330" s="398"/>
      <c r="D330" s="398"/>
      <c r="E330" s="398"/>
      <c r="F330" s="398"/>
      <c r="G330" s="177"/>
      <c r="H330" s="43"/>
      <c r="I330" s="50"/>
      <c r="J330" s="50"/>
      <c r="K330" s="189"/>
      <c r="L330" s="189"/>
      <c r="M330" s="189"/>
      <c r="N330" s="189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</row>
    <row r="331" spans="1:191">
      <c r="A331" s="398"/>
      <c r="B331" s="398"/>
      <c r="C331" s="398"/>
      <c r="D331" s="398"/>
      <c r="E331" s="398"/>
      <c r="F331" s="398"/>
      <c r="G331" s="177"/>
      <c r="H331" s="43"/>
      <c r="I331" s="50"/>
      <c r="J331" s="50"/>
      <c r="K331" s="189"/>
      <c r="L331" s="189"/>
      <c r="M331" s="189"/>
      <c r="N331" s="189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</row>
    <row r="332" spans="1:191">
      <c r="A332" s="398"/>
      <c r="B332" s="398"/>
      <c r="C332" s="398"/>
      <c r="D332" s="398"/>
      <c r="E332" s="398"/>
      <c r="F332" s="398"/>
      <c r="G332" s="177"/>
      <c r="H332" s="43"/>
      <c r="I332" s="50"/>
      <c r="J332" s="50"/>
      <c r="K332" s="189"/>
      <c r="L332" s="189"/>
      <c r="M332" s="189"/>
      <c r="N332" s="189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</row>
    <row r="333" spans="1:191">
      <c r="A333" s="398"/>
      <c r="B333" s="398"/>
      <c r="C333" s="398"/>
      <c r="D333" s="398"/>
      <c r="E333" s="398"/>
      <c r="F333" s="398"/>
      <c r="G333" s="177"/>
      <c r="H333" s="43"/>
      <c r="I333" s="50"/>
      <c r="J333" s="50"/>
      <c r="K333" s="189"/>
      <c r="L333" s="189"/>
      <c r="M333" s="189"/>
      <c r="N333" s="189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</row>
    <row r="334" spans="1:191">
      <c r="A334" s="398"/>
      <c r="B334" s="398"/>
      <c r="C334" s="398"/>
      <c r="D334" s="398"/>
      <c r="E334" s="398"/>
      <c r="F334" s="398"/>
      <c r="G334" s="177"/>
      <c r="H334" s="43"/>
      <c r="I334" s="50"/>
      <c r="J334" s="50"/>
      <c r="K334" s="189"/>
      <c r="L334" s="189"/>
      <c r="M334" s="189"/>
      <c r="N334" s="189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</row>
    <row r="335" spans="1:191">
      <c r="A335" s="398"/>
      <c r="B335" s="398"/>
      <c r="C335" s="398"/>
      <c r="D335" s="398"/>
      <c r="E335" s="398"/>
      <c r="F335" s="398"/>
      <c r="G335" s="177"/>
      <c r="H335" s="43"/>
      <c r="I335" s="50"/>
      <c r="J335" s="50"/>
      <c r="K335" s="189"/>
      <c r="L335" s="189"/>
      <c r="M335" s="189"/>
      <c r="N335" s="189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</row>
    <row r="336" spans="1:191">
      <c r="A336" s="398"/>
      <c r="B336" s="398"/>
      <c r="C336" s="398"/>
      <c r="D336" s="398"/>
      <c r="E336" s="398"/>
      <c r="F336" s="398"/>
      <c r="G336" s="177"/>
      <c r="H336" s="43"/>
      <c r="I336" s="50"/>
      <c r="J336" s="50"/>
      <c r="K336" s="189"/>
      <c r="L336" s="189"/>
      <c r="M336" s="189"/>
      <c r="N336" s="189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</row>
    <row r="337" spans="1:191">
      <c r="A337" s="398"/>
      <c r="B337" s="398"/>
      <c r="C337" s="398"/>
      <c r="D337" s="398"/>
      <c r="E337" s="398"/>
      <c r="F337" s="398"/>
      <c r="G337" s="177"/>
      <c r="H337" s="43"/>
      <c r="I337" s="50"/>
      <c r="J337" s="50"/>
      <c r="K337" s="189"/>
      <c r="L337" s="189"/>
      <c r="M337" s="189"/>
      <c r="N337" s="189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</row>
    <row r="338" spans="1:191">
      <c r="A338" s="398"/>
      <c r="B338" s="398"/>
      <c r="C338" s="398"/>
      <c r="D338" s="398"/>
      <c r="E338" s="398"/>
      <c r="F338" s="398"/>
      <c r="G338" s="177"/>
      <c r="H338" s="43"/>
      <c r="I338" s="50"/>
      <c r="J338" s="50"/>
      <c r="K338" s="189"/>
      <c r="L338" s="189"/>
      <c r="M338" s="189"/>
      <c r="N338" s="189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</row>
    <row r="339" spans="1:191">
      <c r="A339" s="398"/>
      <c r="B339" s="398"/>
      <c r="C339" s="398"/>
      <c r="D339" s="398"/>
      <c r="E339" s="398"/>
      <c r="F339" s="398"/>
      <c r="G339" s="177"/>
      <c r="H339" s="43"/>
      <c r="I339" s="50"/>
      <c r="J339" s="50"/>
      <c r="K339" s="189"/>
      <c r="L339" s="189"/>
      <c r="M339" s="189"/>
      <c r="N339" s="189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</row>
    <row r="340" spans="1:191">
      <c r="A340" s="398"/>
      <c r="B340" s="398"/>
      <c r="C340" s="398"/>
      <c r="D340" s="398"/>
      <c r="E340" s="398"/>
      <c r="F340" s="398"/>
      <c r="G340" s="177"/>
      <c r="H340" s="43"/>
      <c r="I340" s="50"/>
      <c r="J340" s="50"/>
      <c r="K340" s="189"/>
      <c r="L340" s="189"/>
      <c r="M340" s="189"/>
      <c r="N340" s="189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</row>
    <row r="341" spans="1:191">
      <c r="A341" s="398"/>
      <c r="B341" s="398"/>
      <c r="C341" s="398"/>
      <c r="D341" s="398"/>
      <c r="E341" s="398"/>
      <c r="F341" s="398"/>
      <c r="G341" s="177"/>
      <c r="H341" s="43"/>
      <c r="I341" s="50"/>
      <c r="J341" s="50"/>
      <c r="K341" s="189"/>
      <c r="L341" s="189"/>
      <c r="M341" s="189"/>
      <c r="N341" s="189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</row>
    <row r="342" spans="1:191">
      <c r="A342" s="398"/>
      <c r="B342" s="398"/>
      <c r="C342" s="398"/>
      <c r="D342" s="398"/>
      <c r="E342" s="398"/>
      <c r="F342" s="398"/>
      <c r="G342" s="177"/>
      <c r="H342" s="43"/>
      <c r="I342" s="50"/>
      <c r="J342" s="50"/>
      <c r="K342" s="189"/>
      <c r="L342" s="189"/>
      <c r="M342" s="189"/>
      <c r="N342" s="189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</row>
    <row r="343" spans="1:191">
      <c r="A343" s="398"/>
      <c r="B343" s="398"/>
      <c r="C343" s="398"/>
      <c r="D343" s="398"/>
      <c r="E343" s="398"/>
      <c r="F343" s="398"/>
      <c r="G343" s="177"/>
      <c r="H343" s="43"/>
      <c r="I343" s="50"/>
      <c r="J343" s="50"/>
      <c r="K343" s="189"/>
      <c r="L343" s="189"/>
      <c r="M343" s="189"/>
      <c r="N343" s="189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</row>
    <row r="344" spans="1:191">
      <c r="A344" s="398"/>
      <c r="B344" s="398"/>
      <c r="C344" s="398"/>
      <c r="D344" s="398"/>
      <c r="E344" s="398"/>
      <c r="F344" s="398"/>
      <c r="G344" s="177"/>
      <c r="H344" s="43"/>
      <c r="I344" s="50"/>
      <c r="J344" s="50"/>
      <c r="K344" s="189"/>
      <c r="L344" s="189"/>
      <c r="M344" s="189"/>
      <c r="N344" s="189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</row>
    <row r="345" spans="1:191">
      <c r="A345" s="398"/>
      <c r="B345" s="398"/>
      <c r="C345" s="398"/>
      <c r="D345" s="398"/>
      <c r="E345" s="398"/>
      <c r="F345" s="398"/>
      <c r="G345" s="177"/>
      <c r="H345" s="43"/>
      <c r="I345" s="50"/>
      <c r="J345" s="50"/>
      <c r="K345" s="189"/>
      <c r="L345" s="189"/>
      <c r="M345" s="189"/>
      <c r="N345" s="189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</row>
    <row r="346" spans="1:191">
      <c r="A346" s="398"/>
      <c r="B346" s="398"/>
      <c r="C346" s="398"/>
      <c r="D346" s="398"/>
      <c r="E346" s="398"/>
      <c r="F346" s="398"/>
      <c r="G346" s="177"/>
      <c r="H346" s="43"/>
      <c r="I346" s="50"/>
      <c r="J346" s="50"/>
      <c r="K346" s="189"/>
      <c r="L346" s="189"/>
      <c r="M346" s="189"/>
      <c r="N346" s="189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</row>
    <row r="347" spans="1:191">
      <c r="A347" s="398"/>
      <c r="B347" s="398"/>
      <c r="C347" s="398"/>
      <c r="D347" s="398"/>
      <c r="E347" s="398"/>
      <c r="F347" s="398"/>
      <c r="G347" s="177"/>
      <c r="H347" s="43"/>
      <c r="I347" s="50"/>
      <c r="J347" s="50"/>
      <c r="K347" s="189"/>
      <c r="L347" s="189"/>
      <c r="M347" s="189"/>
      <c r="N347" s="189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</row>
    <row r="348" spans="1:191">
      <c r="A348" s="398"/>
      <c r="B348" s="398"/>
      <c r="C348" s="398"/>
      <c r="D348" s="398"/>
      <c r="E348" s="398"/>
      <c r="F348" s="398"/>
      <c r="G348" s="177"/>
      <c r="H348" s="43"/>
      <c r="I348" s="50"/>
      <c r="J348" s="50"/>
      <c r="K348" s="189"/>
      <c r="L348" s="189"/>
      <c r="M348" s="189"/>
      <c r="N348" s="189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</row>
    <row r="349" spans="1:191">
      <c r="A349" s="398"/>
      <c r="B349" s="398"/>
      <c r="C349" s="398"/>
      <c r="D349" s="398"/>
      <c r="E349" s="398"/>
      <c r="F349" s="398"/>
      <c r="G349" s="177"/>
      <c r="H349" s="43"/>
      <c r="I349" s="50"/>
      <c r="J349" s="50"/>
      <c r="K349" s="189"/>
      <c r="L349" s="189"/>
      <c r="M349" s="189"/>
      <c r="N349" s="189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</row>
    <row r="350" spans="1:191">
      <c r="A350" s="398"/>
      <c r="B350" s="398"/>
      <c r="C350" s="398"/>
      <c r="D350" s="398"/>
      <c r="E350" s="398"/>
      <c r="F350" s="398"/>
      <c r="G350" s="177"/>
      <c r="H350" s="43"/>
      <c r="I350" s="50"/>
      <c r="J350" s="50"/>
      <c r="K350" s="189"/>
      <c r="L350" s="189"/>
      <c r="M350" s="189"/>
      <c r="N350" s="189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</row>
    <row r="351" spans="1:191">
      <c r="A351" s="398"/>
      <c r="B351" s="398"/>
      <c r="C351" s="398"/>
      <c r="D351" s="398"/>
      <c r="E351" s="398"/>
      <c r="F351" s="398"/>
      <c r="G351" s="177"/>
      <c r="H351" s="43"/>
      <c r="I351" s="50"/>
      <c r="J351" s="50"/>
      <c r="K351" s="189"/>
      <c r="L351" s="189"/>
      <c r="M351" s="189"/>
      <c r="N351" s="189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</row>
    <row r="352" spans="1:191">
      <c r="A352" s="398"/>
      <c r="B352" s="398"/>
      <c r="C352" s="398"/>
      <c r="D352" s="398"/>
      <c r="E352" s="398"/>
      <c r="F352" s="398"/>
      <c r="G352" s="177"/>
      <c r="H352" s="43"/>
      <c r="I352" s="50"/>
      <c r="J352" s="50"/>
      <c r="K352" s="189"/>
      <c r="L352" s="189"/>
      <c r="M352" s="189"/>
      <c r="N352" s="189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</row>
    <row r="353" spans="1:191">
      <c r="A353" s="398"/>
      <c r="B353" s="398"/>
      <c r="C353" s="398"/>
      <c r="D353" s="398"/>
      <c r="E353" s="398"/>
      <c r="F353" s="398"/>
      <c r="G353" s="177"/>
      <c r="H353" s="43"/>
      <c r="I353" s="50"/>
      <c r="J353" s="50"/>
      <c r="K353" s="189"/>
      <c r="L353" s="189"/>
      <c r="M353" s="189"/>
      <c r="N353" s="189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</row>
    <row r="354" spans="1:191">
      <c r="A354" s="398"/>
      <c r="B354" s="398"/>
      <c r="C354" s="398"/>
      <c r="D354" s="398"/>
      <c r="E354" s="398"/>
      <c r="F354" s="398"/>
      <c r="G354" s="177"/>
      <c r="H354" s="43"/>
      <c r="I354" s="50"/>
      <c r="J354" s="50"/>
      <c r="K354" s="189"/>
      <c r="L354" s="189"/>
      <c r="M354" s="189"/>
      <c r="N354" s="189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</row>
    <row r="355" spans="1:191">
      <c r="A355" s="398"/>
      <c r="B355" s="398"/>
      <c r="C355" s="398"/>
      <c r="D355" s="398"/>
      <c r="E355" s="398"/>
      <c r="F355" s="398"/>
      <c r="G355" s="177"/>
      <c r="H355" s="43"/>
      <c r="I355" s="50"/>
      <c r="J355" s="50"/>
      <c r="K355" s="189"/>
      <c r="L355" s="189"/>
      <c r="M355" s="189"/>
      <c r="N355" s="189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</row>
    <row r="356" spans="1:191">
      <c r="A356" s="398"/>
      <c r="B356" s="398"/>
      <c r="C356" s="398"/>
      <c r="D356" s="398"/>
      <c r="E356" s="398"/>
      <c r="F356" s="398"/>
      <c r="G356" s="177"/>
      <c r="H356" s="43"/>
      <c r="I356" s="50"/>
      <c r="J356" s="50"/>
      <c r="K356" s="189"/>
      <c r="L356" s="189"/>
      <c r="M356" s="189"/>
      <c r="N356" s="189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</row>
    <row r="357" spans="1:191">
      <c r="A357" s="398"/>
      <c r="B357" s="398"/>
      <c r="C357" s="398"/>
      <c r="D357" s="398"/>
      <c r="E357" s="398"/>
      <c r="F357" s="398"/>
      <c r="G357" s="177"/>
      <c r="H357" s="43"/>
      <c r="I357" s="50"/>
      <c r="J357" s="50"/>
      <c r="K357" s="189"/>
      <c r="L357" s="189"/>
      <c r="M357" s="189"/>
      <c r="N357" s="189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</row>
    <row r="358" spans="1:191">
      <c r="A358" s="398"/>
      <c r="B358" s="398"/>
      <c r="C358" s="398"/>
      <c r="D358" s="398"/>
      <c r="E358" s="398"/>
      <c r="F358" s="398"/>
      <c r="G358" s="177"/>
      <c r="H358" s="43"/>
      <c r="I358" s="50"/>
      <c r="J358" s="50"/>
      <c r="K358" s="189"/>
      <c r="L358" s="189"/>
      <c r="M358" s="189"/>
      <c r="N358" s="189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</row>
    <row r="359" spans="1:191">
      <c r="A359" s="398"/>
      <c r="B359" s="398"/>
      <c r="C359" s="398"/>
      <c r="D359" s="398"/>
      <c r="E359" s="398"/>
      <c r="F359" s="398"/>
      <c r="G359" s="177"/>
      <c r="H359" s="43"/>
      <c r="I359" s="50"/>
      <c r="J359" s="50"/>
      <c r="K359" s="189"/>
      <c r="L359" s="189"/>
      <c r="M359" s="189"/>
      <c r="N359" s="189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</row>
    <row r="360" spans="1:191">
      <c r="A360" s="398"/>
      <c r="B360" s="398"/>
      <c r="C360" s="398"/>
      <c r="D360" s="398"/>
      <c r="E360" s="398"/>
      <c r="F360" s="398"/>
      <c r="G360" s="177"/>
      <c r="H360" s="43"/>
      <c r="I360" s="50"/>
      <c r="J360" s="50"/>
      <c r="K360" s="189"/>
      <c r="L360" s="189"/>
      <c r="M360" s="189"/>
      <c r="N360" s="189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</row>
    <row r="361" spans="1:191">
      <c r="A361" s="398"/>
      <c r="B361" s="398"/>
      <c r="C361" s="398"/>
      <c r="D361" s="398"/>
      <c r="E361" s="398"/>
      <c r="F361" s="398"/>
      <c r="G361" s="177"/>
      <c r="H361" s="43"/>
      <c r="I361" s="50"/>
      <c r="J361" s="50"/>
      <c r="K361" s="189"/>
      <c r="L361" s="189"/>
      <c r="M361" s="189"/>
      <c r="N361" s="189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</row>
    <row r="362" spans="1:191">
      <c r="A362" s="398"/>
      <c r="B362" s="398"/>
      <c r="C362" s="398"/>
      <c r="D362" s="398"/>
      <c r="E362" s="398"/>
      <c r="F362" s="398"/>
      <c r="G362" s="177"/>
      <c r="H362" s="43"/>
      <c r="I362" s="50"/>
      <c r="J362" s="50"/>
      <c r="K362" s="189"/>
      <c r="L362" s="189"/>
      <c r="M362" s="189"/>
      <c r="N362" s="189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</row>
    <row r="363" spans="1:191">
      <c r="A363" s="398"/>
      <c r="B363" s="398"/>
      <c r="C363" s="398"/>
      <c r="D363" s="398"/>
      <c r="E363" s="398"/>
      <c r="F363" s="398"/>
      <c r="G363" s="177"/>
      <c r="H363" s="43"/>
      <c r="I363" s="50"/>
      <c r="J363" s="50"/>
      <c r="K363" s="189"/>
      <c r="L363" s="189"/>
      <c r="M363" s="189"/>
      <c r="N363" s="189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</row>
    <row r="364" spans="1:191">
      <c r="A364" s="398"/>
      <c r="B364" s="398"/>
      <c r="C364" s="398"/>
      <c r="D364" s="398"/>
      <c r="E364" s="398"/>
      <c r="F364" s="398"/>
      <c r="G364" s="177"/>
      <c r="H364" s="43"/>
      <c r="I364" s="50"/>
      <c r="J364" s="50"/>
      <c r="K364" s="189"/>
      <c r="L364" s="189"/>
      <c r="M364" s="189"/>
      <c r="N364" s="189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</row>
    <row r="365" spans="1:191">
      <c r="A365" s="398"/>
      <c r="B365" s="398"/>
      <c r="C365" s="398"/>
      <c r="D365" s="398"/>
      <c r="E365" s="398"/>
      <c r="F365" s="398"/>
      <c r="G365" s="177"/>
      <c r="H365" s="43"/>
      <c r="I365" s="50"/>
      <c r="J365" s="50"/>
      <c r="K365" s="189"/>
      <c r="L365" s="189"/>
      <c r="M365" s="189"/>
      <c r="N365" s="189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</row>
    <row r="366" spans="1:191">
      <c r="A366" s="398"/>
      <c r="B366" s="398"/>
      <c r="C366" s="398"/>
      <c r="D366" s="398"/>
      <c r="E366" s="398"/>
      <c r="F366" s="398"/>
      <c r="G366" s="177"/>
      <c r="H366" s="43"/>
      <c r="I366" s="50"/>
      <c r="J366" s="50"/>
      <c r="K366" s="189"/>
      <c r="L366" s="189"/>
      <c r="M366" s="189"/>
      <c r="N366" s="189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</row>
    <row r="367" spans="1:191">
      <c r="A367" s="398"/>
      <c r="B367" s="398"/>
      <c r="C367" s="398"/>
      <c r="D367" s="398"/>
      <c r="E367" s="398"/>
      <c r="F367" s="398"/>
      <c r="G367" s="177"/>
      <c r="H367" s="43"/>
      <c r="I367" s="50"/>
      <c r="J367" s="50"/>
      <c r="K367" s="189"/>
      <c r="L367" s="189"/>
      <c r="M367" s="189"/>
      <c r="N367" s="189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</row>
    <row r="368" spans="1:191">
      <c r="A368" s="398"/>
      <c r="B368" s="398"/>
      <c r="C368" s="398"/>
      <c r="D368" s="398"/>
      <c r="E368" s="398"/>
      <c r="F368" s="398"/>
      <c r="G368" s="177"/>
      <c r="H368" s="43"/>
      <c r="I368" s="50"/>
      <c r="J368" s="50"/>
      <c r="K368" s="189"/>
      <c r="L368" s="189"/>
      <c r="M368" s="189"/>
      <c r="N368" s="189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</row>
    <row r="369" spans="1:191">
      <c r="A369" s="398"/>
      <c r="B369" s="398"/>
      <c r="C369" s="398"/>
      <c r="D369" s="398"/>
      <c r="E369" s="398"/>
      <c r="F369" s="398"/>
      <c r="G369" s="177"/>
      <c r="H369" s="43"/>
      <c r="I369" s="50"/>
      <c r="J369" s="50"/>
      <c r="K369" s="189"/>
      <c r="L369" s="189"/>
      <c r="M369" s="189"/>
      <c r="N369" s="189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</row>
    <row r="370" spans="1:191">
      <c r="A370" s="398"/>
      <c r="B370" s="398"/>
      <c r="C370" s="398"/>
      <c r="D370" s="398"/>
      <c r="E370" s="398"/>
      <c r="F370" s="398"/>
      <c r="G370" s="177"/>
      <c r="H370" s="43"/>
      <c r="I370" s="50"/>
      <c r="J370" s="50"/>
      <c r="K370" s="189"/>
      <c r="L370" s="189"/>
      <c r="M370" s="189"/>
      <c r="N370" s="189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</row>
    <row r="371" spans="1:191">
      <c r="A371" s="398"/>
      <c r="B371" s="398"/>
      <c r="C371" s="398"/>
      <c r="D371" s="398"/>
      <c r="E371" s="398"/>
      <c r="F371" s="398"/>
      <c r="G371" s="177"/>
      <c r="H371" s="43"/>
      <c r="I371" s="50"/>
      <c r="J371" s="50"/>
      <c r="K371" s="189"/>
      <c r="L371" s="189"/>
      <c r="M371" s="189"/>
      <c r="N371" s="189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</row>
    <row r="372" spans="1:191">
      <c r="A372" s="398"/>
      <c r="B372" s="398"/>
      <c r="C372" s="398"/>
      <c r="D372" s="398"/>
      <c r="E372" s="398"/>
      <c r="F372" s="398"/>
      <c r="G372" s="177"/>
      <c r="H372" s="43"/>
      <c r="I372" s="50"/>
      <c r="J372" s="50"/>
      <c r="K372" s="189"/>
      <c r="L372" s="189"/>
      <c r="M372" s="189"/>
      <c r="N372" s="189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</row>
    <row r="373" spans="1:191">
      <c r="A373" s="398"/>
      <c r="B373" s="398"/>
      <c r="C373" s="398"/>
      <c r="D373" s="398"/>
      <c r="E373" s="398"/>
      <c r="F373" s="398"/>
      <c r="G373" s="177"/>
      <c r="H373" s="43"/>
      <c r="I373" s="50"/>
      <c r="J373" s="50"/>
      <c r="K373" s="189"/>
      <c r="L373" s="189"/>
      <c r="M373" s="189"/>
      <c r="N373" s="189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</row>
    <row r="374" spans="1:191">
      <c r="A374" s="398"/>
      <c r="B374" s="398"/>
      <c r="C374" s="398"/>
      <c r="D374" s="398"/>
      <c r="E374" s="398"/>
      <c r="F374" s="398"/>
      <c r="G374" s="177"/>
      <c r="H374" s="43"/>
      <c r="I374" s="50"/>
      <c r="J374" s="50"/>
      <c r="K374" s="189"/>
      <c r="L374" s="189"/>
      <c r="M374" s="189"/>
      <c r="N374" s="189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</row>
    <row r="375" spans="1:191">
      <c r="A375" s="398"/>
      <c r="B375" s="398"/>
      <c r="C375" s="398"/>
      <c r="D375" s="398"/>
      <c r="E375" s="398"/>
      <c r="F375" s="398"/>
      <c r="G375" s="177"/>
      <c r="H375" s="43"/>
      <c r="I375" s="50"/>
      <c r="J375" s="50"/>
      <c r="K375" s="189"/>
      <c r="L375" s="189"/>
      <c r="M375" s="189"/>
      <c r="N375" s="189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</row>
    <row r="376" spans="1:191">
      <c r="A376" s="398"/>
      <c r="B376" s="398"/>
      <c r="C376" s="398"/>
      <c r="D376" s="398"/>
      <c r="E376" s="398"/>
      <c r="F376" s="398"/>
      <c r="G376" s="177"/>
      <c r="H376" s="43"/>
      <c r="I376" s="50"/>
      <c r="J376" s="50"/>
      <c r="K376" s="189"/>
      <c r="L376" s="189"/>
      <c r="M376" s="189"/>
      <c r="N376" s="189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</row>
    <row r="377" spans="1:191">
      <c r="A377" s="398"/>
      <c r="B377" s="398"/>
      <c r="C377" s="398"/>
      <c r="D377" s="398"/>
      <c r="E377" s="398"/>
      <c r="F377" s="398"/>
      <c r="G377" s="177"/>
      <c r="H377" s="43"/>
      <c r="I377" s="50"/>
      <c r="J377" s="50"/>
      <c r="K377" s="189"/>
      <c r="L377" s="189"/>
      <c r="M377" s="189"/>
      <c r="N377" s="189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</row>
    <row r="378" spans="1:191">
      <c r="A378" s="398"/>
      <c r="B378" s="398"/>
      <c r="C378" s="398"/>
      <c r="D378" s="398"/>
      <c r="E378" s="398"/>
      <c r="F378" s="398"/>
      <c r="G378" s="177"/>
      <c r="H378" s="43"/>
      <c r="I378" s="50"/>
      <c r="J378" s="50"/>
      <c r="K378" s="189"/>
      <c r="L378" s="189"/>
      <c r="M378" s="189"/>
      <c r="N378" s="189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</row>
    <row r="379" spans="1:191">
      <c r="A379" s="398"/>
      <c r="B379" s="398"/>
      <c r="C379" s="398"/>
      <c r="D379" s="398"/>
      <c r="E379" s="398"/>
      <c r="F379" s="398"/>
      <c r="G379" s="177"/>
      <c r="H379" s="43"/>
      <c r="I379" s="50"/>
      <c r="J379" s="50"/>
      <c r="K379" s="189"/>
      <c r="L379" s="189"/>
      <c r="M379" s="189"/>
      <c r="N379" s="189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</row>
    <row r="380" spans="1:191">
      <c r="A380" s="398"/>
      <c r="B380" s="398"/>
      <c r="C380" s="398"/>
      <c r="D380" s="398"/>
      <c r="E380" s="398"/>
      <c r="F380" s="398"/>
      <c r="G380" s="177"/>
      <c r="H380" s="43"/>
      <c r="I380" s="50"/>
      <c r="J380" s="50"/>
      <c r="K380" s="189"/>
      <c r="L380" s="189"/>
      <c r="M380" s="189"/>
      <c r="N380" s="189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</row>
    <row r="381" spans="1:191">
      <c r="A381" s="398"/>
      <c r="B381" s="398"/>
      <c r="C381" s="398"/>
      <c r="D381" s="398"/>
      <c r="E381" s="398"/>
      <c r="F381" s="398"/>
      <c r="G381" s="177"/>
      <c r="H381" s="43"/>
      <c r="I381" s="50"/>
      <c r="J381" s="50"/>
      <c r="K381" s="189"/>
      <c r="L381" s="189"/>
      <c r="M381" s="189"/>
      <c r="N381" s="189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</row>
    <row r="382" spans="1:191">
      <c r="A382" s="398"/>
      <c r="B382" s="398"/>
      <c r="C382" s="398"/>
      <c r="D382" s="398"/>
      <c r="E382" s="398"/>
      <c r="F382" s="398"/>
      <c r="G382" s="177"/>
      <c r="H382" s="43"/>
      <c r="I382" s="50"/>
      <c r="J382" s="50"/>
      <c r="K382" s="189"/>
      <c r="L382" s="189"/>
      <c r="M382" s="189"/>
      <c r="N382" s="189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</row>
    <row r="383" spans="1:191">
      <c r="A383" s="398"/>
      <c r="B383" s="398"/>
      <c r="C383" s="398"/>
      <c r="D383" s="398"/>
      <c r="E383" s="398"/>
      <c r="F383" s="398"/>
      <c r="G383" s="177"/>
      <c r="H383" s="43"/>
      <c r="I383" s="50"/>
      <c r="J383" s="50"/>
      <c r="K383" s="189"/>
      <c r="L383" s="189"/>
      <c r="M383" s="189"/>
      <c r="N383" s="189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</row>
    <row r="384" spans="1:191">
      <c r="A384" s="398"/>
      <c r="B384" s="398"/>
      <c r="C384" s="398"/>
      <c r="D384" s="398"/>
      <c r="E384" s="398"/>
      <c r="F384" s="398"/>
      <c r="G384" s="177"/>
      <c r="H384" s="43"/>
      <c r="I384" s="50"/>
      <c r="J384" s="50"/>
      <c r="K384" s="189"/>
      <c r="L384" s="189"/>
      <c r="M384" s="189"/>
      <c r="N384" s="189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</row>
    <row r="385" spans="1:191">
      <c r="A385" s="398"/>
      <c r="B385" s="398"/>
      <c r="C385" s="398"/>
      <c r="D385" s="398"/>
      <c r="E385" s="398"/>
      <c r="F385" s="398"/>
      <c r="G385" s="177"/>
      <c r="H385" s="43"/>
      <c r="I385" s="50"/>
      <c r="J385" s="50"/>
      <c r="K385" s="189"/>
      <c r="L385" s="189"/>
      <c r="M385" s="189"/>
      <c r="N385" s="189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</row>
    <row r="386" spans="1:191">
      <c r="A386" s="398"/>
      <c r="B386" s="398"/>
      <c r="C386" s="398"/>
      <c r="D386" s="398"/>
      <c r="E386" s="398"/>
      <c r="F386" s="398"/>
      <c r="G386" s="177"/>
      <c r="H386" s="43"/>
      <c r="I386" s="50"/>
      <c r="J386" s="50"/>
      <c r="K386" s="189"/>
      <c r="L386" s="189"/>
      <c r="M386" s="189"/>
      <c r="N386" s="189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</row>
    <row r="387" spans="1:191">
      <c r="A387" s="398"/>
      <c r="B387" s="398"/>
      <c r="C387" s="398"/>
      <c r="D387" s="398"/>
      <c r="E387" s="398"/>
      <c r="F387" s="398"/>
      <c r="G387" s="177"/>
      <c r="H387" s="43"/>
      <c r="I387" s="50"/>
      <c r="J387" s="50"/>
      <c r="K387" s="189"/>
      <c r="L387" s="189"/>
      <c r="M387" s="189"/>
      <c r="N387" s="189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</row>
    <row r="388" spans="1:191">
      <c r="A388" s="398"/>
      <c r="B388" s="398"/>
      <c r="C388" s="398"/>
      <c r="D388" s="398"/>
      <c r="E388" s="398"/>
      <c r="F388" s="398"/>
      <c r="G388" s="177"/>
      <c r="H388" s="43"/>
      <c r="I388" s="50"/>
      <c r="J388" s="50"/>
      <c r="K388" s="189"/>
      <c r="L388" s="189"/>
      <c r="M388" s="189"/>
      <c r="N388" s="189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</row>
    <row r="389" spans="1:191">
      <c r="A389" s="398"/>
      <c r="B389" s="398"/>
      <c r="C389" s="398"/>
      <c r="D389" s="398"/>
      <c r="E389" s="398"/>
      <c r="F389" s="398"/>
      <c r="G389" s="177"/>
      <c r="H389" s="43"/>
      <c r="I389" s="50"/>
      <c r="J389" s="50"/>
      <c r="K389" s="189"/>
      <c r="L389" s="189"/>
      <c r="M389" s="189"/>
      <c r="N389" s="189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</row>
    <row r="390" spans="1:191">
      <c r="A390" s="398"/>
      <c r="B390" s="398"/>
      <c r="C390" s="398"/>
      <c r="D390" s="398"/>
      <c r="E390" s="398"/>
      <c r="F390" s="398"/>
      <c r="G390" s="177"/>
      <c r="H390" s="43"/>
      <c r="I390" s="50"/>
      <c r="J390" s="50"/>
      <c r="K390" s="189"/>
      <c r="L390" s="189"/>
      <c r="M390" s="189"/>
      <c r="N390" s="189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</row>
    <row r="391" spans="1:191">
      <c r="A391" s="398"/>
      <c r="B391" s="398"/>
      <c r="C391" s="398"/>
      <c r="D391" s="398"/>
      <c r="E391" s="398"/>
      <c r="F391" s="398"/>
      <c r="G391" s="177"/>
      <c r="H391" s="43"/>
      <c r="I391" s="50"/>
      <c r="J391" s="50"/>
      <c r="K391" s="189"/>
      <c r="L391" s="189"/>
      <c r="M391" s="189"/>
      <c r="N391" s="189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</row>
    <row r="392" spans="1:191">
      <c r="A392" s="398"/>
      <c r="B392" s="398"/>
      <c r="C392" s="398"/>
      <c r="D392" s="398"/>
      <c r="E392" s="398"/>
      <c r="F392" s="398"/>
      <c r="G392" s="177"/>
      <c r="H392" s="43"/>
      <c r="I392" s="50"/>
      <c r="J392" s="50"/>
      <c r="K392" s="189"/>
      <c r="L392" s="189"/>
      <c r="M392" s="189"/>
      <c r="N392" s="189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</row>
    <row r="393" spans="1:191">
      <c r="A393" s="398"/>
      <c r="B393" s="398"/>
      <c r="C393" s="398"/>
      <c r="D393" s="398"/>
      <c r="E393" s="398"/>
      <c r="F393" s="398"/>
      <c r="G393" s="177"/>
      <c r="H393" s="43"/>
      <c r="I393" s="50"/>
      <c r="J393" s="50"/>
      <c r="K393" s="189"/>
      <c r="L393" s="189"/>
      <c r="M393" s="189"/>
      <c r="N393" s="189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</row>
    <row r="394" spans="1:191">
      <c r="A394" s="398"/>
      <c r="B394" s="398"/>
      <c r="C394" s="398"/>
      <c r="D394" s="398"/>
      <c r="E394" s="398"/>
      <c r="F394" s="398"/>
      <c r="G394" s="177"/>
      <c r="H394" s="43"/>
      <c r="I394" s="50"/>
      <c r="J394" s="50"/>
      <c r="K394" s="189"/>
      <c r="L394" s="189"/>
      <c r="M394" s="189"/>
      <c r="N394" s="189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</row>
    <row r="395" spans="1:191">
      <c r="A395" s="398"/>
      <c r="B395" s="398"/>
      <c r="C395" s="398"/>
      <c r="D395" s="398"/>
      <c r="E395" s="398"/>
      <c r="F395" s="398"/>
      <c r="G395" s="177"/>
      <c r="H395" s="43"/>
      <c r="I395" s="50"/>
      <c r="J395" s="50"/>
      <c r="K395" s="189"/>
      <c r="L395" s="189"/>
      <c r="M395" s="189"/>
      <c r="N395" s="189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</row>
    <row r="396" spans="1:191">
      <c r="A396" s="398"/>
      <c r="B396" s="398"/>
      <c r="C396" s="398"/>
      <c r="D396" s="398"/>
      <c r="E396" s="398"/>
      <c r="F396" s="398"/>
      <c r="G396" s="177"/>
      <c r="H396" s="43"/>
      <c r="I396" s="50"/>
      <c r="J396" s="50"/>
      <c r="K396" s="189"/>
      <c r="L396" s="189"/>
      <c r="M396" s="189"/>
      <c r="N396" s="189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</row>
    <row r="397" spans="1:191">
      <c r="A397" s="398"/>
      <c r="B397" s="398"/>
      <c r="C397" s="398"/>
      <c r="D397" s="398"/>
      <c r="E397" s="398"/>
      <c r="F397" s="398"/>
      <c r="G397" s="177"/>
      <c r="H397" s="43"/>
      <c r="I397" s="50"/>
      <c r="J397" s="50"/>
      <c r="K397" s="189"/>
      <c r="L397" s="189"/>
      <c r="M397" s="189"/>
      <c r="N397" s="189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</row>
    <row r="398" spans="1:191">
      <c r="A398" s="398"/>
      <c r="B398" s="398"/>
      <c r="C398" s="398"/>
      <c r="D398" s="398"/>
      <c r="E398" s="398"/>
      <c r="F398" s="398"/>
      <c r="G398" s="177"/>
      <c r="H398" s="43"/>
      <c r="I398" s="50"/>
      <c r="J398" s="50"/>
      <c r="K398" s="189"/>
      <c r="L398" s="189"/>
      <c r="M398" s="189"/>
      <c r="N398" s="189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</row>
    <row r="399" spans="1:191">
      <c r="A399" s="398"/>
      <c r="B399" s="398"/>
      <c r="C399" s="398"/>
      <c r="D399" s="398"/>
      <c r="E399" s="398"/>
      <c r="F399" s="398"/>
      <c r="G399" s="177"/>
      <c r="H399" s="43"/>
      <c r="I399" s="50"/>
      <c r="J399" s="50"/>
      <c r="K399" s="189"/>
      <c r="L399" s="189"/>
      <c r="M399" s="189"/>
      <c r="N399" s="189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</row>
    <row r="400" spans="1:191">
      <c r="A400" s="398"/>
      <c r="B400" s="398"/>
      <c r="C400" s="398"/>
      <c r="D400" s="398"/>
      <c r="E400" s="398"/>
      <c r="F400" s="398"/>
      <c r="G400" s="177"/>
      <c r="H400" s="43"/>
      <c r="I400" s="50"/>
      <c r="J400" s="50"/>
      <c r="K400" s="189"/>
      <c r="L400" s="189"/>
      <c r="M400" s="189"/>
      <c r="N400" s="189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</row>
    <row r="401" spans="1:191">
      <c r="A401" s="398"/>
      <c r="B401" s="398"/>
      <c r="C401" s="398"/>
      <c r="D401" s="398"/>
      <c r="E401" s="398"/>
      <c r="F401" s="398"/>
      <c r="G401" s="177"/>
      <c r="H401" s="43"/>
      <c r="I401" s="50"/>
      <c r="J401" s="50"/>
      <c r="K401" s="189"/>
      <c r="L401" s="189"/>
      <c r="M401" s="189"/>
      <c r="N401" s="189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</row>
    <row r="402" spans="1:191">
      <c r="A402" s="398"/>
      <c r="B402" s="398"/>
      <c r="C402" s="398"/>
      <c r="D402" s="398"/>
      <c r="E402" s="398"/>
      <c r="F402" s="398"/>
      <c r="G402" s="177"/>
      <c r="H402" s="43"/>
      <c r="I402" s="50"/>
      <c r="J402" s="50"/>
      <c r="K402" s="189"/>
      <c r="L402" s="189"/>
      <c r="M402" s="189"/>
      <c r="N402" s="189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</row>
    <row r="403" spans="1:191">
      <c r="A403" s="398"/>
      <c r="B403" s="398"/>
      <c r="C403" s="398"/>
      <c r="D403" s="398"/>
      <c r="E403" s="398"/>
      <c r="F403" s="398"/>
      <c r="G403" s="177"/>
      <c r="H403" s="43"/>
      <c r="I403" s="50"/>
      <c r="J403" s="50"/>
      <c r="K403" s="189"/>
      <c r="L403" s="189"/>
      <c r="M403" s="189"/>
      <c r="N403" s="189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</row>
    <row r="404" spans="1:191">
      <c r="A404" s="398"/>
      <c r="B404" s="398"/>
      <c r="C404" s="398"/>
      <c r="D404" s="398"/>
      <c r="E404" s="398"/>
      <c r="F404" s="398"/>
      <c r="G404" s="177"/>
      <c r="H404" s="43"/>
      <c r="I404" s="50"/>
      <c r="J404" s="50"/>
      <c r="K404" s="189"/>
      <c r="L404" s="189"/>
      <c r="M404" s="189"/>
      <c r="N404" s="189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</row>
    <row r="405" spans="1:191">
      <c r="A405" s="398"/>
      <c r="B405" s="398"/>
      <c r="C405" s="398"/>
      <c r="D405" s="398"/>
      <c r="E405" s="398"/>
      <c r="F405" s="398"/>
      <c r="G405" s="177"/>
      <c r="H405" s="43"/>
      <c r="I405" s="50"/>
      <c r="J405" s="50"/>
      <c r="K405" s="189"/>
      <c r="L405" s="189"/>
      <c r="M405" s="189"/>
      <c r="N405" s="189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</row>
    <row r="406" spans="1:191">
      <c r="A406" s="398"/>
      <c r="B406" s="398"/>
      <c r="C406" s="398"/>
      <c r="D406" s="398"/>
      <c r="E406" s="398"/>
      <c r="F406" s="398"/>
      <c r="G406" s="177"/>
      <c r="H406" s="43"/>
      <c r="I406" s="50"/>
      <c r="J406" s="50"/>
      <c r="K406" s="189"/>
      <c r="L406" s="189"/>
      <c r="M406" s="189"/>
      <c r="N406" s="189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</row>
    <row r="407" spans="1:191">
      <c r="A407" s="398"/>
      <c r="B407" s="398"/>
      <c r="C407" s="398"/>
      <c r="D407" s="398"/>
      <c r="E407" s="398"/>
      <c r="F407" s="398"/>
      <c r="G407" s="177"/>
      <c r="H407" s="43"/>
      <c r="I407" s="50"/>
      <c r="J407" s="50"/>
      <c r="K407" s="189"/>
      <c r="L407" s="189"/>
      <c r="M407" s="189"/>
      <c r="N407" s="189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</row>
    <row r="408" spans="1:191">
      <c r="A408" s="398"/>
      <c r="B408" s="398"/>
      <c r="C408" s="398"/>
      <c r="D408" s="398"/>
      <c r="E408" s="398"/>
      <c r="F408" s="398"/>
      <c r="G408" s="177"/>
      <c r="H408" s="43"/>
      <c r="I408" s="50"/>
      <c r="J408" s="50"/>
      <c r="K408" s="189"/>
      <c r="L408" s="189"/>
      <c r="M408" s="189"/>
      <c r="N408" s="189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</row>
    <row r="409" spans="1:191">
      <c r="A409" s="398"/>
      <c r="B409" s="398"/>
      <c r="C409" s="398"/>
      <c r="D409" s="398"/>
      <c r="E409" s="398"/>
      <c r="F409" s="398"/>
      <c r="G409" s="177"/>
      <c r="H409" s="43"/>
      <c r="I409" s="50"/>
      <c r="J409" s="50"/>
      <c r="K409" s="189"/>
      <c r="L409" s="189"/>
      <c r="M409" s="189"/>
      <c r="N409" s="189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</row>
    <row r="410" spans="1:191">
      <c r="A410" s="398"/>
      <c r="B410" s="398"/>
      <c r="C410" s="398"/>
      <c r="D410" s="398"/>
      <c r="E410" s="398"/>
      <c r="F410" s="398"/>
      <c r="G410" s="177"/>
      <c r="H410" s="43"/>
      <c r="I410" s="50"/>
      <c r="J410" s="50"/>
      <c r="K410" s="189"/>
      <c r="L410" s="189"/>
      <c r="M410" s="189"/>
      <c r="N410" s="189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</row>
    <row r="411" spans="1:191">
      <c r="A411" s="398"/>
      <c r="B411" s="398"/>
      <c r="C411" s="398"/>
      <c r="D411" s="398"/>
      <c r="E411" s="398"/>
      <c r="F411" s="398"/>
      <c r="G411" s="177"/>
      <c r="H411" s="43"/>
      <c r="I411" s="50"/>
      <c r="J411" s="50"/>
      <c r="K411" s="189"/>
      <c r="L411" s="189"/>
      <c r="M411" s="189"/>
      <c r="N411" s="189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</row>
    <row r="412" spans="1:191">
      <c r="A412" s="398"/>
      <c r="B412" s="398"/>
      <c r="C412" s="398"/>
      <c r="D412" s="398"/>
      <c r="E412" s="398"/>
      <c r="F412" s="398"/>
      <c r="G412" s="177"/>
      <c r="H412" s="43"/>
      <c r="I412" s="50"/>
      <c r="J412" s="50"/>
      <c r="K412" s="189"/>
      <c r="L412" s="189"/>
      <c r="M412" s="189"/>
      <c r="N412" s="189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</row>
    <row r="413" spans="1:191">
      <c r="A413" s="398"/>
      <c r="B413" s="398"/>
      <c r="C413" s="398"/>
      <c r="D413" s="398"/>
      <c r="E413" s="398"/>
      <c r="F413" s="398"/>
      <c r="G413" s="177"/>
      <c r="H413" s="43"/>
      <c r="I413" s="50"/>
      <c r="J413" s="50"/>
      <c r="K413" s="189"/>
      <c r="L413" s="189"/>
      <c r="M413" s="189"/>
      <c r="N413" s="189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</row>
    <row r="414" spans="1:191">
      <c r="A414" s="398"/>
      <c r="B414" s="398"/>
      <c r="C414" s="398"/>
      <c r="D414" s="398"/>
      <c r="E414" s="398"/>
      <c r="F414" s="398"/>
      <c r="G414" s="177"/>
      <c r="H414" s="43"/>
      <c r="I414" s="50"/>
      <c r="J414" s="50"/>
      <c r="K414" s="189"/>
      <c r="L414" s="189"/>
      <c r="M414" s="189"/>
      <c r="N414" s="189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</row>
    <row r="415" spans="1:191">
      <c r="A415" s="398"/>
      <c r="B415" s="398"/>
      <c r="C415" s="398"/>
      <c r="D415" s="398"/>
      <c r="E415" s="398"/>
      <c r="F415" s="398"/>
      <c r="G415" s="177"/>
      <c r="H415" s="43"/>
      <c r="I415" s="50"/>
      <c r="J415" s="50"/>
      <c r="K415" s="189"/>
      <c r="L415" s="189"/>
      <c r="M415" s="189"/>
      <c r="N415" s="189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</row>
    <row r="416" spans="1:191">
      <c r="A416" s="398"/>
      <c r="B416" s="398"/>
      <c r="C416" s="398"/>
      <c r="D416" s="398"/>
      <c r="E416" s="398"/>
      <c r="F416" s="398"/>
      <c r="G416" s="177"/>
      <c r="H416" s="43"/>
      <c r="I416" s="50"/>
      <c r="J416" s="50"/>
      <c r="K416" s="189"/>
      <c r="L416" s="189"/>
      <c r="M416" s="189"/>
      <c r="N416" s="189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</row>
    <row r="417" spans="1:191">
      <c r="A417" s="398"/>
      <c r="B417" s="398"/>
      <c r="C417" s="398"/>
      <c r="D417" s="398"/>
      <c r="E417" s="398"/>
      <c r="F417" s="398"/>
      <c r="G417" s="177"/>
      <c r="H417" s="43"/>
      <c r="I417" s="50"/>
      <c r="J417" s="50"/>
      <c r="K417" s="189"/>
      <c r="L417" s="189"/>
      <c r="M417" s="189"/>
      <c r="N417" s="189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</row>
    <row r="418" spans="1:191">
      <c r="A418" s="398"/>
      <c r="B418" s="398"/>
      <c r="C418" s="398"/>
      <c r="D418" s="398"/>
      <c r="E418" s="398"/>
      <c r="F418" s="398"/>
      <c r="G418" s="177"/>
      <c r="H418" s="43"/>
      <c r="I418" s="50"/>
      <c r="J418" s="50"/>
      <c r="K418" s="189"/>
      <c r="L418" s="189"/>
      <c r="M418" s="189"/>
      <c r="N418" s="189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</row>
    <row r="419" spans="1:191">
      <c r="A419" s="398"/>
      <c r="B419" s="398"/>
      <c r="C419" s="398"/>
      <c r="D419" s="398"/>
      <c r="E419" s="398"/>
      <c r="F419" s="398"/>
      <c r="G419" s="177"/>
      <c r="H419" s="43"/>
      <c r="I419" s="50"/>
      <c r="J419" s="50"/>
      <c r="K419" s="189"/>
      <c r="L419" s="189"/>
      <c r="M419" s="189"/>
      <c r="N419" s="189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</row>
    <row r="420" spans="1:191">
      <c r="A420" s="398"/>
      <c r="B420" s="398"/>
      <c r="C420" s="398"/>
      <c r="D420" s="398"/>
      <c r="E420" s="398"/>
      <c r="F420" s="398"/>
      <c r="G420" s="177"/>
      <c r="H420" s="43"/>
      <c r="I420" s="50"/>
      <c r="J420" s="50"/>
      <c r="K420" s="189"/>
      <c r="L420" s="189"/>
      <c r="M420" s="189"/>
      <c r="N420" s="189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</row>
    <row r="421" spans="1:191">
      <c r="A421" s="398"/>
      <c r="B421" s="398"/>
      <c r="C421" s="398"/>
      <c r="D421" s="398"/>
      <c r="E421" s="398"/>
      <c r="F421" s="398"/>
      <c r="G421" s="177"/>
      <c r="H421" s="43"/>
      <c r="I421" s="50"/>
      <c r="J421" s="50"/>
      <c r="K421" s="189"/>
      <c r="L421" s="189"/>
      <c r="M421" s="189"/>
      <c r="N421" s="189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</row>
    <row r="422" spans="1:191">
      <c r="A422" s="398"/>
      <c r="B422" s="398"/>
      <c r="C422" s="398"/>
      <c r="D422" s="398"/>
      <c r="E422" s="398"/>
      <c r="F422" s="398"/>
      <c r="G422" s="177"/>
      <c r="H422" s="43"/>
      <c r="I422" s="50"/>
      <c r="J422" s="50"/>
      <c r="K422" s="189"/>
      <c r="L422" s="189"/>
      <c r="M422" s="189"/>
      <c r="N422" s="189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</row>
    <row r="423" spans="1:191">
      <c r="A423" s="398"/>
      <c r="B423" s="398"/>
      <c r="C423" s="398"/>
      <c r="D423" s="398"/>
      <c r="E423" s="398"/>
      <c r="F423" s="398"/>
      <c r="G423" s="177"/>
      <c r="H423" s="43"/>
      <c r="I423" s="50"/>
      <c r="J423" s="50"/>
      <c r="K423" s="189"/>
      <c r="L423" s="189"/>
      <c r="M423" s="189"/>
      <c r="N423" s="189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</row>
    <row r="424" spans="1:191">
      <c r="A424" s="398"/>
      <c r="B424" s="398"/>
      <c r="C424" s="398"/>
      <c r="D424" s="398"/>
      <c r="E424" s="398"/>
      <c r="F424" s="398"/>
      <c r="G424" s="177"/>
      <c r="H424" s="43"/>
      <c r="I424" s="50"/>
      <c r="J424" s="50"/>
      <c r="K424" s="189"/>
      <c r="L424" s="189"/>
      <c r="M424" s="189"/>
      <c r="N424" s="189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  <c r="FT424" s="37"/>
      <c r="FU424" s="37"/>
      <c r="FV424" s="37"/>
      <c r="FW424" s="37"/>
      <c r="FX424" s="37"/>
      <c r="FY424" s="37"/>
      <c r="FZ424" s="37"/>
      <c r="GA424" s="37"/>
      <c r="GB424" s="37"/>
      <c r="GC424" s="37"/>
      <c r="GD424" s="37"/>
      <c r="GE424" s="37"/>
      <c r="GF424" s="37"/>
      <c r="GG424" s="37"/>
      <c r="GH424" s="37"/>
      <c r="GI424" s="37"/>
    </row>
    <row r="425" spans="1:191">
      <c r="A425" s="398"/>
      <c r="B425" s="398"/>
      <c r="C425" s="398"/>
      <c r="D425" s="398"/>
      <c r="E425" s="398"/>
      <c r="F425" s="398"/>
      <c r="G425" s="177"/>
      <c r="H425" s="43"/>
      <c r="I425" s="50"/>
      <c r="J425" s="50"/>
      <c r="K425" s="189"/>
      <c r="L425" s="189"/>
      <c r="M425" s="189"/>
      <c r="N425" s="189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</row>
    <row r="426" spans="1:191">
      <c r="A426" s="398"/>
      <c r="B426" s="398"/>
      <c r="C426" s="398"/>
      <c r="D426" s="398"/>
      <c r="E426" s="398"/>
      <c r="F426" s="398"/>
      <c r="G426" s="177"/>
      <c r="H426" s="43"/>
      <c r="I426" s="50"/>
      <c r="J426" s="50"/>
      <c r="K426" s="189"/>
      <c r="L426" s="189"/>
      <c r="M426" s="189"/>
      <c r="N426" s="189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  <c r="FT426" s="37"/>
      <c r="FU426" s="37"/>
      <c r="FV426" s="37"/>
      <c r="FW426" s="37"/>
      <c r="FX426" s="37"/>
      <c r="FY426" s="37"/>
      <c r="FZ426" s="37"/>
      <c r="GA426" s="37"/>
      <c r="GB426" s="37"/>
      <c r="GC426" s="37"/>
      <c r="GD426" s="37"/>
      <c r="GE426" s="37"/>
      <c r="GF426" s="37"/>
      <c r="GG426" s="37"/>
      <c r="GH426" s="37"/>
      <c r="GI426" s="37"/>
    </row>
    <row r="427" spans="1:191">
      <c r="A427" s="398"/>
      <c r="B427" s="398"/>
      <c r="C427" s="398"/>
      <c r="D427" s="398"/>
      <c r="E427" s="398"/>
      <c r="F427" s="398"/>
      <c r="G427" s="177"/>
      <c r="H427" s="43"/>
      <c r="I427" s="50"/>
      <c r="J427" s="50"/>
      <c r="K427" s="189"/>
      <c r="L427" s="189"/>
      <c r="M427" s="189"/>
      <c r="N427" s="189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</row>
    <row r="428" spans="1:191">
      <c r="A428" s="398"/>
      <c r="B428" s="398"/>
      <c r="C428" s="398"/>
      <c r="D428" s="398"/>
      <c r="E428" s="398"/>
      <c r="F428" s="398"/>
      <c r="G428" s="177"/>
      <c r="H428" s="43"/>
      <c r="I428" s="50"/>
      <c r="J428" s="50"/>
      <c r="K428" s="189"/>
      <c r="L428" s="189"/>
      <c r="M428" s="189"/>
      <c r="N428" s="189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</row>
    <row r="429" spans="1:191">
      <c r="A429" s="398"/>
      <c r="B429" s="398"/>
      <c r="C429" s="398"/>
      <c r="D429" s="398"/>
      <c r="E429" s="398"/>
      <c r="F429" s="398"/>
      <c r="G429" s="177"/>
      <c r="H429" s="43"/>
      <c r="I429" s="50"/>
      <c r="J429" s="50"/>
      <c r="K429" s="189"/>
      <c r="L429" s="189"/>
      <c r="M429" s="189"/>
      <c r="N429" s="189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</row>
    <row r="430" spans="1:191">
      <c r="A430" s="398"/>
      <c r="B430" s="398"/>
      <c r="C430" s="398"/>
      <c r="D430" s="398"/>
      <c r="E430" s="398"/>
      <c r="F430" s="398"/>
      <c r="G430" s="177"/>
      <c r="H430" s="43"/>
      <c r="I430" s="50"/>
      <c r="J430" s="50"/>
      <c r="K430" s="189"/>
      <c r="L430" s="189"/>
      <c r="M430" s="189"/>
      <c r="N430" s="189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  <c r="FT430" s="37"/>
      <c r="FU430" s="37"/>
      <c r="FV430" s="37"/>
      <c r="FW430" s="37"/>
      <c r="FX430" s="37"/>
      <c r="FY430" s="37"/>
      <c r="FZ430" s="37"/>
      <c r="GA430" s="37"/>
      <c r="GB430" s="37"/>
      <c r="GC430" s="37"/>
      <c r="GD430" s="37"/>
      <c r="GE430" s="37"/>
      <c r="GF430" s="37"/>
      <c r="GG430" s="37"/>
      <c r="GH430" s="37"/>
      <c r="GI430" s="37"/>
    </row>
    <row r="431" spans="1:191">
      <c r="A431" s="398"/>
      <c r="B431" s="398"/>
      <c r="C431" s="398"/>
      <c r="D431" s="398"/>
      <c r="E431" s="398"/>
      <c r="F431" s="398"/>
      <c r="G431" s="177"/>
      <c r="H431" s="43"/>
      <c r="I431" s="50"/>
      <c r="J431" s="50"/>
      <c r="K431" s="189"/>
      <c r="L431" s="189"/>
      <c r="M431" s="189"/>
      <c r="N431" s="189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</row>
    <row r="432" spans="1:191">
      <c r="A432" s="398"/>
      <c r="B432" s="398"/>
      <c r="C432" s="398"/>
      <c r="D432" s="398"/>
      <c r="E432" s="398"/>
      <c r="F432" s="398"/>
      <c r="G432" s="177"/>
      <c r="H432" s="43"/>
      <c r="I432" s="50"/>
      <c r="J432" s="50"/>
      <c r="K432" s="189"/>
      <c r="L432" s="189"/>
      <c r="M432" s="189"/>
      <c r="N432" s="189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</row>
    <row r="433" spans="1:191">
      <c r="A433" s="398"/>
      <c r="B433" s="398"/>
      <c r="C433" s="398"/>
      <c r="D433" s="398"/>
      <c r="E433" s="398"/>
      <c r="F433" s="398"/>
      <c r="G433" s="177"/>
      <c r="H433" s="43"/>
      <c r="I433" s="50"/>
      <c r="J433" s="50"/>
      <c r="K433" s="189"/>
      <c r="L433" s="189"/>
      <c r="M433" s="189"/>
      <c r="N433" s="189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</row>
    <row r="434" spans="1:191">
      <c r="A434" s="398"/>
      <c r="B434" s="398"/>
      <c r="C434" s="398"/>
      <c r="D434" s="398"/>
      <c r="E434" s="398"/>
      <c r="F434" s="398"/>
      <c r="G434" s="177"/>
      <c r="H434" s="43"/>
      <c r="I434" s="50"/>
      <c r="J434" s="50"/>
      <c r="K434" s="189"/>
      <c r="L434" s="189"/>
      <c r="M434" s="189"/>
      <c r="N434" s="189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</row>
    <row r="435" spans="1:191">
      <c r="A435" s="398"/>
      <c r="B435" s="398"/>
      <c r="C435" s="398"/>
      <c r="D435" s="398"/>
      <c r="E435" s="398"/>
      <c r="F435" s="398"/>
      <c r="G435" s="177"/>
      <c r="H435" s="43"/>
      <c r="I435" s="50"/>
      <c r="J435" s="50"/>
      <c r="K435" s="189"/>
      <c r="L435" s="189"/>
      <c r="M435" s="189"/>
      <c r="N435" s="189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</row>
    <row r="436" spans="1:191">
      <c r="A436" s="398"/>
      <c r="B436" s="398"/>
      <c r="C436" s="398"/>
      <c r="D436" s="398"/>
      <c r="E436" s="398"/>
      <c r="F436" s="398"/>
      <c r="G436" s="177"/>
      <c r="H436" s="43"/>
      <c r="I436" s="50"/>
      <c r="J436" s="50"/>
      <c r="K436" s="189"/>
      <c r="L436" s="189"/>
      <c r="M436" s="189"/>
      <c r="N436" s="189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</row>
    <row r="437" spans="1:191">
      <c r="A437" s="398"/>
      <c r="B437" s="398"/>
      <c r="C437" s="398"/>
      <c r="D437" s="398"/>
      <c r="E437" s="398"/>
      <c r="F437" s="398"/>
      <c r="G437" s="177"/>
      <c r="H437" s="43"/>
      <c r="I437" s="50"/>
      <c r="J437" s="50"/>
      <c r="K437" s="189"/>
      <c r="L437" s="189"/>
      <c r="M437" s="189"/>
      <c r="N437" s="189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</row>
    <row r="438" spans="1:191">
      <c r="A438" s="398"/>
      <c r="B438" s="398"/>
      <c r="C438" s="398"/>
      <c r="D438" s="398"/>
      <c r="E438" s="398"/>
      <c r="F438" s="398"/>
      <c r="G438" s="177"/>
      <c r="H438" s="43"/>
      <c r="I438" s="50"/>
      <c r="J438" s="50"/>
      <c r="K438" s="189"/>
      <c r="L438" s="189"/>
      <c r="M438" s="189"/>
      <c r="N438" s="189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</row>
    <row r="439" spans="1:191">
      <c r="A439" s="398"/>
      <c r="B439" s="398"/>
      <c r="C439" s="398"/>
      <c r="D439" s="398"/>
      <c r="E439" s="398"/>
      <c r="F439" s="398"/>
      <c r="G439" s="177"/>
      <c r="H439" s="43"/>
      <c r="I439" s="50"/>
      <c r="J439" s="50"/>
      <c r="K439" s="189"/>
      <c r="L439" s="189"/>
      <c r="M439" s="189"/>
      <c r="N439" s="189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</row>
    <row r="440" spans="1:191">
      <c r="A440" s="398"/>
      <c r="B440" s="398"/>
      <c r="C440" s="398"/>
      <c r="D440" s="398"/>
      <c r="E440" s="398"/>
      <c r="F440" s="398"/>
      <c r="G440" s="177"/>
      <c r="H440" s="43"/>
      <c r="I440" s="50"/>
      <c r="J440" s="50"/>
      <c r="K440" s="189"/>
      <c r="L440" s="189"/>
      <c r="M440" s="189"/>
      <c r="N440" s="189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  <c r="FT440" s="37"/>
      <c r="FU440" s="37"/>
      <c r="FV440" s="37"/>
      <c r="FW440" s="37"/>
      <c r="FX440" s="37"/>
      <c r="FY440" s="37"/>
      <c r="FZ440" s="37"/>
      <c r="GA440" s="37"/>
      <c r="GB440" s="37"/>
      <c r="GC440" s="37"/>
      <c r="GD440" s="37"/>
      <c r="GE440" s="37"/>
      <c r="GF440" s="37"/>
      <c r="GG440" s="37"/>
      <c r="GH440" s="37"/>
      <c r="GI440" s="37"/>
    </row>
    <row r="441" spans="1:191">
      <c r="A441" s="398"/>
      <c r="B441" s="398"/>
      <c r="C441" s="398"/>
      <c r="D441" s="398"/>
      <c r="E441" s="398"/>
      <c r="F441" s="398"/>
      <c r="G441" s="177"/>
      <c r="H441" s="43"/>
      <c r="I441" s="50"/>
      <c r="J441" s="50"/>
      <c r="K441" s="189"/>
      <c r="L441" s="189"/>
      <c r="M441" s="189"/>
      <c r="N441" s="189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</row>
    <row r="442" spans="1:191">
      <c r="A442" s="398"/>
      <c r="B442" s="398"/>
      <c r="C442" s="398"/>
      <c r="D442" s="398"/>
      <c r="E442" s="398"/>
      <c r="F442" s="398"/>
      <c r="G442" s="177"/>
      <c r="H442" s="43"/>
      <c r="I442" s="50"/>
      <c r="J442" s="50"/>
      <c r="K442" s="189"/>
      <c r="L442" s="189"/>
      <c r="M442" s="189"/>
      <c r="N442" s="189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</row>
    <row r="443" spans="1:191">
      <c r="A443" s="398"/>
      <c r="B443" s="398"/>
      <c r="C443" s="398"/>
      <c r="D443" s="398"/>
      <c r="E443" s="398"/>
      <c r="F443" s="398"/>
      <c r="G443" s="177"/>
      <c r="H443" s="43"/>
      <c r="I443" s="50"/>
      <c r="J443" s="50"/>
      <c r="K443" s="189"/>
      <c r="L443" s="189"/>
      <c r="M443" s="189"/>
      <c r="N443" s="189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</row>
    <row r="444" spans="1:191">
      <c r="A444" s="398"/>
      <c r="B444" s="398"/>
      <c r="C444" s="398"/>
      <c r="D444" s="398"/>
      <c r="E444" s="398"/>
      <c r="F444" s="398"/>
      <c r="G444" s="177"/>
      <c r="H444" s="43"/>
      <c r="I444" s="50"/>
      <c r="J444" s="50"/>
      <c r="K444" s="189"/>
      <c r="L444" s="189"/>
      <c r="M444" s="189"/>
      <c r="N444" s="189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</row>
    <row r="445" spans="1:191">
      <c r="A445" s="398"/>
      <c r="B445" s="398"/>
      <c r="C445" s="398"/>
      <c r="D445" s="398"/>
      <c r="E445" s="398"/>
      <c r="F445" s="398"/>
      <c r="G445" s="177"/>
      <c r="H445" s="43"/>
      <c r="I445" s="50"/>
      <c r="J445" s="50"/>
      <c r="K445" s="189"/>
      <c r="L445" s="189"/>
      <c r="M445" s="189"/>
      <c r="N445" s="189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</row>
    <row r="446" spans="1:191">
      <c r="A446" s="398"/>
      <c r="B446" s="398"/>
      <c r="C446" s="398"/>
      <c r="D446" s="398"/>
      <c r="E446" s="398"/>
      <c r="F446" s="398"/>
      <c r="G446" s="177"/>
      <c r="H446" s="43"/>
      <c r="I446" s="50"/>
      <c r="J446" s="50"/>
      <c r="K446" s="189"/>
      <c r="L446" s="189"/>
      <c r="M446" s="189"/>
      <c r="N446" s="189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</row>
    <row r="447" spans="1:191">
      <c r="A447" s="398"/>
      <c r="B447" s="398"/>
      <c r="C447" s="398"/>
      <c r="D447" s="398"/>
      <c r="E447" s="398"/>
      <c r="F447" s="398"/>
      <c r="G447" s="177"/>
      <c r="H447" s="43"/>
      <c r="I447" s="50"/>
      <c r="J447" s="50"/>
      <c r="K447" s="189"/>
      <c r="L447" s="189"/>
      <c r="M447" s="189"/>
      <c r="N447" s="189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  <c r="FT447" s="37"/>
      <c r="FU447" s="37"/>
      <c r="FV447" s="37"/>
      <c r="FW447" s="37"/>
      <c r="FX447" s="37"/>
      <c r="FY447" s="37"/>
      <c r="FZ447" s="37"/>
      <c r="GA447" s="37"/>
      <c r="GB447" s="37"/>
      <c r="GC447" s="37"/>
      <c r="GD447" s="37"/>
      <c r="GE447" s="37"/>
      <c r="GF447" s="37"/>
      <c r="GG447" s="37"/>
      <c r="GH447" s="37"/>
      <c r="GI447" s="37"/>
    </row>
    <row r="448" spans="1:191">
      <c r="A448" s="398"/>
      <c r="B448" s="398"/>
      <c r="C448" s="398"/>
      <c r="D448" s="398"/>
      <c r="E448" s="398"/>
      <c r="F448" s="398"/>
      <c r="G448" s="177"/>
      <c r="H448" s="43"/>
      <c r="I448" s="50"/>
      <c r="J448" s="50"/>
      <c r="K448" s="189"/>
      <c r="L448" s="189"/>
      <c r="M448" s="189"/>
      <c r="N448" s="189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</row>
    <row r="449" spans="1:191">
      <c r="A449" s="398"/>
      <c r="B449" s="398"/>
      <c r="C449" s="398"/>
      <c r="D449" s="398"/>
      <c r="E449" s="398"/>
      <c r="F449" s="398"/>
      <c r="G449" s="177"/>
      <c r="H449" s="43"/>
      <c r="I449" s="50"/>
      <c r="J449" s="50"/>
      <c r="K449" s="189"/>
      <c r="L449" s="189"/>
      <c r="M449" s="189"/>
      <c r="N449" s="189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  <c r="FT449" s="37"/>
      <c r="FU449" s="37"/>
      <c r="FV449" s="37"/>
      <c r="FW449" s="37"/>
      <c r="FX449" s="37"/>
      <c r="FY449" s="37"/>
      <c r="FZ449" s="37"/>
      <c r="GA449" s="37"/>
      <c r="GB449" s="37"/>
      <c r="GC449" s="37"/>
      <c r="GD449" s="37"/>
      <c r="GE449" s="37"/>
      <c r="GF449" s="37"/>
      <c r="GG449" s="37"/>
      <c r="GH449" s="37"/>
      <c r="GI449" s="37"/>
    </row>
    <row r="450" spans="1:191">
      <c r="A450" s="398"/>
      <c r="B450" s="398"/>
      <c r="C450" s="398"/>
      <c r="D450" s="398"/>
      <c r="E450" s="398"/>
      <c r="F450" s="398"/>
      <c r="G450" s="177"/>
      <c r="H450" s="43"/>
      <c r="I450" s="50"/>
      <c r="J450" s="50"/>
      <c r="K450" s="189"/>
      <c r="L450" s="189"/>
      <c r="M450" s="189"/>
      <c r="N450" s="189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  <c r="FT450" s="37"/>
      <c r="FU450" s="37"/>
      <c r="FV450" s="37"/>
      <c r="FW450" s="37"/>
      <c r="FX450" s="37"/>
      <c r="FY450" s="37"/>
      <c r="FZ450" s="37"/>
      <c r="GA450" s="37"/>
      <c r="GB450" s="37"/>
      <c r="GC450" s="37"/>
      <c r="GD450" s="37"/>
      <c r="GE450" s="37"/>
      <c r="GF450" s="37"/>
      <c r="GG450" s="37"/>
      <c r="GH450" s="37"/>
      <c r="GI450" s="37"/>
    </row>
    <row r="451" spans="1:191">
      <c r="A451" s="398"/>
      <c r="B451" s="398"/>
      <c r="C451" s="398"/>
      <c r="D451" s="398"/>
      <c r="E451" s="398"/>
      <c r="F451" s="398"/>
      <c r="G451" s="177"/>
      <c r="H451" s="43"/>
      <c r="I451" s="50"/>
      <c r="J451" s="50"/>
      <c r="K451" s="189"/>
      <c r="L451" s="189"/>
      <c r="M451" s="189"/>
      <c r="N451" s="189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</row>
    <row r="452" spans="1:191">
      <c r="A452" s="398"/>
      <c r="B452" s="398"/>
      <c r="C452" s="398"/>
      <c r="D452" s="398"/>
      <c r="E452" s="398"/>
      <c r="F452" s="398"/>
      <c r="G452" s="177"/>
      <c r="H452" s="43"/>
      <c r="I452" s="50"/>
      <c r="J452" s="50"/>
      <c r="K452" s="189"/>
      <c r="L452" s="189"/>
      <c r="M452" s="189"/>
      <c r="N452" s="189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  <c r="FT452" s="37"/>
      <c r="FU452" s="37"/>
      <c r="FV452" s="37"/>
      <c r="FW452" s="37"/>
      <c r="FX452" s="37"/>
      <c r="FY452" s="37"/>
      <c r="FZ452" s="37"/>
      <c r="GA452" s="37"/>
      <c r="GB452" s="37"/>
      <c r="GC452" s="37"/>
      <c r="GD452" s="37"/>
      <c r="GE452" s="37"/>
      <c r="GF452" s="37"/>
      <c r="GG452" s="37"/>
      <c r="GH452" s="37"/>
      <c r="GI452" s="37"/>
    </row>
    <row r="453" spans="1:191">
      <c r="A453" s="398"/>
      <c r="B453" s="398"/>
      <c r="C453" s="398"/>
      <c r="D453" s="398"/>
      <c r="E453" s="398"/>
      <c r="F453" s="398"/>
      <c r="G453" s="177"/>
      <c r="H453" s="43"/>
      <c r="I453" s="50"/>
      <c r="J453" s="50"/>
      <c r="K453" s="189"/>
      <c r="L453" s="189"/>
      <c r="M453" s="189"/>
      <c r="N453" s="189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  <c r="FT453" s="37"/>
      <c r="FU453" s="37"/>
      <c r="FV453" s="37"/>
      <c r="FW453" s="37"/>
      <c r="FX453" s="37"/>
      <c r="FY453" s="37"/>
      <c r="FZ453" s="37"/>
      <c r="GA453" s="37"/>
      <c r="GB453" s="37"/>
      <c r="GC453" s="37"/>
      <c r="GD453" s="37"/>
      <c r="GE453" s="37"/>
      <c r="GF453" s="37"/>
      <c r="GG453" s="37"/>
      <c r="GH453" s="37"/>
      <c r="GI453" s="37"/>
    </row>
    <row r="454" spans="1:191">
      <c r="A454" s="398"/>
      <c r="B454" s="398"/>
      <c r="C454" s="398"/>
      <c r="D454" s="398"/>
      <c r="E454" s="398"/>
      <c r="F454" s="398"/>
      <c r="G454" s="177"/>
      <c r="H454" s="43"/>
      <c r="I454" s="50"/>
      <c r="J454" s="50"/>
      <c r="K454" s="189"/>
      <c r="L454" s="189"/>
      <c r="M454" s="189"/>
      <c r="N454" s="189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</row>
    <row r="455" spans="1:191">
      <c r="A455" s="398"/>
      <c r="B455" s="398"/>
      <c r="C455" s="398"/>
      <c r="D455" s="398"/>
      <c r="E455" s="398"/>
      <c r="F455" s="398"/>
      <c r="G455" s="177"/>
      <c r="H455" s="43"/>
      <c r="I455" s="50"/>
      <c r="J455" s="50"/>
      <c r="K455" s="189"/>
      <c r="L455" s="189"/>
      <c r="M455" s="189"/>
      <c r="N455" s="189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  <c r="FT455" s="37"/>
      <c r="FU455" s="37"/>
      <c r="FV455" s="37"/>
      <c r="FW455" s="37"/>
      <c r="FX455" s="37"/>
      <c r="FY455" s="37"/>
      <c r="FZ455" s="37"/>
      <c r="GA455" s="37"/>
      <c r="GB455" s="37"/>
      <c r="GC455" s="37"/>
      <c r="GD455" s="37"/>
      <c r="GE455" s="37"/>
      <c r="GF455" s="37"/>
      <c r="GG455" s="37"/>
      <c r="GH455" s="37"/>
      <c r="GI455" s="37"/>
    </row>
    <row r="456" spans="1:191">
      <c r="A456" s="398"/>
      <c r="B456" s="398"/>
      <c r="C456" s="398"/>
      <c r="D456" s="398"/>
      <c r="E456" s="398"/>
      <c r="F456" s="398"/>
      <c r="G456" s="177"/>
      <c r="H456" s="43"/>
      <c r="I456" s="50"/>
      <c r="J456" s="50"/>
      <c r="K456" s="189"/>
      <c r="L456" s="189"/>
      <c r="M456" s="189"/>
      <c r="N456" s="189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</row>
    <row r="457" spans="1:191">
      <c r="A457" s="398"/>
      <c r="B457" s="398"/>
      <c r="C457" s="398"/>
      <c r="D457" s="398"/>
      <c r="E457" s="398"/>
      <c r="F457" s="398"/>
      <c r="G457" s="177"/>
      <c r="H457" s="43"/>
      <c r="I457" s="50"/>
      <c r="J457" s="50"/>
      <c r="K457" s="189"/>
      <c r="L457" s="189"/>
      <c r="M457" s="189"/>
      <c r="N457" s="189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</row>
    <row r="458" spans="1:191">
      <c r="A458" s="398"/>
      <c r="B458" s="398"/>
      <c r="C458" s="398"/>
      <c r="D458" s="398"/>
      <c r="E458" s="398"/>
      <c r="F458" s="398"/>
      <c r="G458" s="177"/>
      <c r="H458" s="43"/>
      <c r="I458" s="50"/>
      <c r="J458" s="50"/>
      <c r="K458" s="189"/>
      <c r="L458" s="189"/>
      <c r="M458" s="189"/>
      <c r="N458" s="189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  <c r="FT458" s="37"/>
      <c r="FU458" s="37"/>
      <c r="FV458" s="37"/>
      <c r="FW458" s="37"/>
      <c r="FX458" s="37"/>
      <c r="FY458" s="37"/>
      <c r="FZ458" s="37"/>
      <c r="GA458" s="37"/>
      <c r="GB458" s="37"/>
      <c r="GC458" s="37"/>
      <c r="GD458" s="37"/>
      <c r="GE458" s="37"/>
      <c r="GF458" s="37"/>
      <c r="GG458" s="37"/>
      <c r="GH458" s="37"/>
      <c r="GI458" s="37"/>
    </row>
    <row r="459" spans="1:191">
      <c r="A459" s="398"/>
      <c r="B459" s="398"/>
      <c r="C459" s="398"/>
      <c r="D459" s="398"/>
      <c r="E459" s="398"/>
      <c r="F459" s="398"/>
      <c r="G459" s="177"/>
      <c r="H459" s="43"/>
      <c r="I459" s="50"/>
      <c r="J459" s="50"/>
      <c r="K459" s="189"/>
      <c r="L459" s="189"/>
      <c r="M459" s="189"/>
      <c r="N459" s="189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  <c r="FT459" s="37"/>
      <c r="FU459" s="37"/>
      <c r="FV459" s="37"/>
      <c r="FW459" s="37"/>
      <c r="FX459" s="37"/>
      <c r="FY459" s="37"/>
      <c r="FZ459" s="37"/>
      <c r="GA459" s="37"/>
      <c r="GB459" s="37"/>
      <c r="GC459" s="37"/>
      <c r="GD459" s="37"/>
      <c r="GE459" s="37"/>
      <c r="GF459" s="37"/>
      <c r="GG459" s="37"/>
      <c r="GH459" s="37"/>
      <c r="GI459" s="37"/>
    </row>
    <row r="460" spans="1:191">
      <c r="A460" s="398"/>
      <c r="B460" s="398"/>
      <c r="C460" s="398"/>
      <c r="D460" s="398"/>
      <c r="E460" s="398"/>
      <c r="F460" s="398"/>
      <c r="G460" s="177"/>
      <c r="H460" s="43"/>
      <c r="I460" s="50"/>
      <c r="J460" s="50"/>
      <c r="K460" s="189"/>
      <c r="L460" s="189"/>
      <c r="M460" s="189"/>
      <c r="N460" s="189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  <c r="FT460" s="37"/>
      <c r="FU460" s="37"/>
      <c r="FV460" s="37"/>
      <c r="FW460" s="37"/>
      <c r="FX460" s="37"/>
      <c r="FY460" s="37"/>
      <c r="FZ460" s="37"/>
      <c r="GA460" s="37"/>
      <c r="GB460" s="37"/>
      <c r="GC460" s="37"/>
      <c r="GD460" s="37"/>
      <c r="GE460" s="37"/>
      <c r="GF460" s="37"/>
      <c r="GG460" s="37"/>
      <c r="GH460" s="37"/>
      <c r="GI460" s="37"/>
    </row>
    <row r="461" spans="1:191">
      <c r="A461" s="398"/>
      <c r="B461" s="398"/>
      <c r="C461" s="398"/>
      <c r="D461" s="398"/>
      <c r="E461" s="398"/>
      <c r="F461" s="398"/>
      <c r="G461" s="177"/>
      <c r="H461" s="43"/>
      <c r="I461" s="50"/>
      <c r="J461" s="50"/>
      <c r="K461" s="189"/>
      <c r="L461" s="189"/>
      <c r="M461" s="189"/>
      <c r="N461" s="189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</row>
    <row r="462" spans="1:191">
      <c r="A462" s="398"/>
      <c r="B462" s="398"/>
      <c r="C462" s="398"/>
      <c r="D462" s="398"/>
      <c r="E462" s="398"/>
      <c r="F462" s="398"/>
      <c r="G462" s="177"/>
      <c r="H462" s="43"/>
      <c r="I462" s="50"/>
      <c r="J462" s="50"/>
      <c r="K462" s="189"/>
      <c r="L462" s="189"/>
      <c r="M462" s="189"/>
      <c r="N462" s="189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  <c r="FT462" s="37"/>
      <c r="FU462" s="37"/>
      <c r="FV462" s="37"/>
      <c r="FW462" s="37"/>
      <c r="FX462" s="37"/>
      <c r="FY462" s="37"/>
      <c r="FZ462" s="37"/>
      <c r="GA462" s="37"/>
      <c r="GB462" s="37"/>
      <c r="GC462" s="37"/>
      <c r="GD462" s="37"/>
      <c r="GE462" s="37"/>
      <c r="GF462" s="37"/>
      <c r="GG462" s="37"/>
      <c r="GH462" s="37"/>
      <c r="GI462" s="37"/>
    </row>
    <row r="463" spans="1:191">
      <c r="A463" s="398"/>
      <c r="B463" s="398"/>
      <c r="C463" s="398"/>
      <c r="D463" s="398"/>
      <c r="E463" s="398"/>
      <c r="F463" s="398"/>
      <c r="G463" s="177"/>
      <c r="H463" s="43"/>
      <c r="I463" s="50"/>
      <c r="J463" s="50"/>
      <c r="K463" s="189"/>
      <c r="L463" s="189"/>
      <c r="M463" s="189"/>
      <c r="N463" s="189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  <c r="FT463" s="37"/>
      <c r="FU463" s="37"/>
      <c r="FV463" s="37"/>
      <c r="FW463" s="37"/>
      <c r="FX463" s="37"/>
      <c r="FY463" s="37"/>
      <c r="FZ463" s="37"/>
      <c r="GA463" s="37"/>
      <c r="GB463" s="37"/>
      <c r="GC463" s="37"/>
      <c r="GD463" s="37"/>
      <c r="GE463" s="37"/>
      <c r="GF463" s="37"/>
      <c r="GG463" s="37"/>
      <c r="GH463" s="37"/>
      <c r="GI463" s="37"/>
    </row>
    <row r="464" spans="1:191">
      <c r="A464" s="398"/>
      <c r="B464" s="398"/>
      <c r="C464" s="398"/>
      <c r="D464" s="398"/>
      <c r="E464" s="398"/>
      <c r="F464" s="398"/>
      <c r="G464" s="177"/>
      <c r="H464" s="43"/>
      <c r="I464" s="50"/>
      <c r="J464" s="50"/>
      <c r="K464" s="189"/>
      <c r="L464" s="189"/>
      <c r="M464" s="189"/>
      <c r="N464" s="189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  <c r="FT464" s="37"/>
      <c r="FU464" s="37"/>
      <c r="FV464" s="37"/>
      <c r="FW464" s="37"/>
      <c r="FX464" s="37"/>
      <c r="FY464" s="37"/>
      <c r="FZ464" s="37"/>
      <c r="GA464" s="37"/>
      <c r="GB464" s="37"/>
      <c r="GC464" s="37"/>
      <c r="GD464" s="37"/>
      <c r="GE464" s="37"/>
      <c r="GF464" s="37"/>
      <c r="GG464" s="37"/>
      <c r="GH464" s="37"/>
      <c r="GI464" s="37"/>
    </row>
    <row r="465" spans="1:191">
      <c r="A465" s="398"/>
      <c r="B465" s="398"/>
      <c r="C465" s="398"/>
      <c r="D465" s="398"/>
      <c r="E465" s="398"/>
      <c r="F465" s="398"/>
      <c r="G465" s="177"/>
      <c r="H465" s="43"/>
      <c r="I465" s="50"/>
      <c r="J465" s="50"/>
      <c r="K465" s="189"/>
      <c r="L465" s="189"/>
      <c r="M465" s="189"/>
      <c r="N465" s="189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</row>
    <row r="466" spans="1:191">
      <c r="A466" s="398"/>
      <c r="B466" s="398"/>
      <c r="C466" s="398"/>
      <c r="D466" s="398"/>
      <c r="E466" s="398"/>
      <c r="F466" s="398"/>
      <c r="G466" s="177"/>
      <c r="H466" s="43"/>
      <c r="I466" s="50"/>
      <c r="J466" s="50"/>
      <c r="K466" s="189"/>
      <c r="L466" s="189"/>
      <c r="M466" s="189"/>
      <c r="N466" s="189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</row>
    <row r="467" spans="1:191">
      <c r="A467" s="398"/>
      <c r="B467" s="398"/>
      <c r="C467" s="398"/>
      <c r="D467" s="398"/>
      <c r="E467" s="398"/>
      <c r="F467" s="398"/>
      <c r="G467" s="177"/>
      <c r="H467" s="43"/>
      <c r="I467" s="50"/>
      <c r="J467" s="50"/>
      <c r="K467" s="189"/>
      <c r="L467" s="189"/>
      <c r="M467" s="189"/>
      <c r="N467" s="189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</row>
    <row r="468" spans="1:191">
      <c r="A468" s="398"/>
      <c r="B468" s="398"/>
      <c r="C468" s="398"/>
      <c r="D468" s="398"/>
      <c r="E468" s="398"/>
      <c r="F468" s="398"/>
      <c r="G468" s="177"/>
      <c r="H468" s="43"/>
      <c r="I468" s="50"/>
      <c r="J468" s="50"/>
      <c r="K468" s="189"/>
      <c r="L468" s="189"/>
      <c r="M468" s="189"/>
      <c r="N468" s="189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</row>
    <row r="469" spans="1:191">
      <c r="A469" s="398"/>
      <c r="B469" s="398"/>
      <c r="C469" s="398"/>
      <c r="D469" s="398"/>
      <c r="E469" s="398"/>
      <c r="F469" s="398"/>
      <c r="G469" s="177"/>
      <c r="H469" s="43"/>
      <c r="I469" s="50"/>
      <c r="J469" s="50"/>
      <c r="K469" s="189"/>
      <c r="L469" s="189"/>
      <c r="M469" s="189"/>
      <c r="N469" s="189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</row>
    <row r="470" spans="1:191">
      <c r="A470" s="398"/>
      <c r="B470" s="398"/>
      <c r="C470" s="398"/>
      <c r="D470" s="398"/>
      <c r="E470" s="398"/>
      <c r="F470" s="398"/>
      <c r="G470" s="177"/>
      <c r="H470" s="43"/>
      <c r="I470" s="50"/>
      <c r="J470" s="50"/>
      <c r="K470" s="189"/>
      <c r="L470" s="189"/>
      <c r="M470" s="189"/>
      <c r="N470" s="189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</row>
    <row r="471" spans="1:191">
      <c r="A471" s="398"/>
      <c r="B471" s="398"/>
      <c r="C471" s="398"/>
      <c r="D471" s="398"/>
      <c r="E471" s="398"/>
      <c r="F471" s="398"/>
      <c r="G471" s="177"/>
      <c r="H471" s="43"/>
      <c r="I471" s="50"/>
      <c r="J471" s="50"/>
      <c r="K471" s="189"/>
      <c r="L471" s="189"/>
      <c r="M471" s="189"/>
      <c r="N471" s="189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</row>
    <row r="472" spans="1:191">
      <c r="A472" s="398"/>
      <c r="B472" s="398"/>
      <c r="C472" s="398"/>
      <c r="D472" s="398"/>
      <c r="E472" s="398"/>
      <c r="F472" s="398"/>
      <c r="G472" s="177"/>
      <c r="H472" s="43"/>
      <c r="I472" s="50"/>
      <c r="J472" s="50"/>
      <c r="K472" s="189"/>
      <c r="L472" s="189"/>
      <c r="M472" s="189"/>
      <c r="N472" s="189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</row>
    <row r="473" spans="1:191">
      <c r="A473" s="398"/>
      <c r="B473" s="398"/>
      <c r="C473" s="398"/>
      <c r="D473" s="398"/>
      <c r="E473" s="398"/>
      <c r="F473" s="398"/>
      <c r="G473" s="177"/>
      <c r="H473" s="43"/>
      <c r="I473" s="50"/>
      <c r="J473" s="50"/>
      <c r="K473" s="189"/>
      <c r="L473" s="189"/>
      <c r="M473" s="189"/>
      <c r="N473" s="189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</row>
    <row r="474" spans="1:191">
      <c r="A474" s="398"/>
      <c r="B474" s="398"/>
      <c r="C474" s="398"/>
      <c r="D474" s="398"/>
      <c r="E474" s="398"/>
      <c r="F474" s="398"/>
      <c r="G474" s="177"/>
      <c r="H474" s="43"/>
      <c r="I474" s="50"/>
      <c r="J474" s="50"/>
      <c r="K474" s="189"/>
      <c r="L474" s="189"/>
      <c r="M474" s="189"/>
      <c r="N474" s="189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</row>
    <row r="475" spans="1:191">
      <c r="A475" s="398"/>
      <c r="B475" s="398"/>
      <c r="C475" s="398"/>
      <c r="D475" s="398"/>
      <c r="E475" s="398"/>
      <c r="F475" s="398"/>
      <c r="G475" s="177"/>
      <c r="H475" s="43"/>
      <c r="I475" s="50"/>
      <c r="J475" s="50"/>
      <c r="K475" s="189"/>
      <c r="L475" s="189"/>
      <c r="M475" s="189"/>
      <c r="N475" s="189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</row>
    <row r="476" spans="1:191">
      <c r="A476" s="398"/>
      <c r="B476" s="398"/>
      <c r="C476" s="398"/>
      <c r="D476" s="398"/>
      <c r="E476" s="398"/>
      <c r="F476" s="398"/>
      <c r="G476" s="177"/>
      <c r="H476" s="43"/>
      <c r="I476" s="50"/>
      <c r="J476" s="50"/>
      <c r="K476" s="189"/>
      <c r="L476" s="189"/>
      <c r="M476" s="189"/>
      <c r="N476" s="189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</row>
    <row r="477" spans="1:191">
      <c r="A477" s="398"/>
      <c r="B477" s="398"/>
      <c r="C477" s="398"/>
      <c r="D477" s="398"/>
      <c r="E477" s="398"/>
      <c r="F477" s="398"/>
      <c r="G477" s="177"/>
      <c r="H477" s="43"/>
      <c r="I477" s="50"/>
      <c r="J477" s="50"/>
      <c r="K477" s="189"/>
      <c r="L477" s="189"/>
      <c r="M477" s="189"/>
      <c r="N477" s="189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</row>
    <row r="478" spans="1:191">
      <c r="A478" s="398"/>
      <c r="B478" s="398"/>
      <c r="C478" s="398"/>
      <c r="D478" s="398"/>
      <c r="E478" s="398"/>
      <c r="F478" s="398"/>
      <c r="G478" s="177"/>
      <c r="H478" s="43"/>
      <c r="I478" s="50"/>
      <c r="J478" s="50"/>
      <c r="K478" s="189"/>
      <c r="L478" s="189"/>
      <c r="M478" s="189"/>
      <c r="N478" s="189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</row>
    <row r="479" spans="1:191">
      <c r="A479" s="398"/>
      <c r="B479" s="398"/>
      <c r="C479" s="398"/>
      <c r="D479" s="398"/>
      <c r="E479" s="398"/>
      <c r="F479" s="398"/>
      <c r="G479" s="177"/>
      <c r="H479" s="43"/>
      <c r="I479" s="50"/>
      <c r="J479" s="50"/>
      <c r="K479" s="189"/>
      <c r="L479" s="189"/>
      <c r="M479" s="189"/>
      <c r="N479" s="189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</row>
    <row r="480" spans="1:191">
      <c r="A480" s="398"/>
      <c r="B480" s="398"/>
      <c r="C480" s="398"/>
      <c r="D480" s="398"/>
      <c r="E480" s="398"/>
      <c r="F480" s="398"/>
      <c r="G480" s="177"/>
      <c r="H480" s="43"/>
      <c r="I480" s="50"/>
      <c r="J480" s="50"/>
      <c r="K480" s="189"/>
      <c r="L480" s="189"/>
      <c r="M480" s="189"/>
      <c r="N480" s="189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  <c r="FT480" s="37"/>
      <c r="FU480" s="37"/>
      <c r="FV480" s="37"/>
      <c r="FW480" s="37"/>
      <c r="FX480" s="37"/>
      <c r="FY480" s="37"/>
      <c r="FZ480" s="37"/>
      <c r="GA480" s="37"/>
      <c r="GB480" s="37"/>
      <c r="GC480" s="37"/>
      <c r="GD480" s="37"/>
      <c r="GE480" s="37"/>
      <c r="GF480" s="37"/>
      <c r="GG480" s="37"/>
      <c r="GH480" s="37"/>
      <c r="GI480" s="37"/>
    </row>
    <row r="481" spans="1:191">
      <c r="A481" s="398"/>
      <c r="B481" s="398"/>
      <c r="C481" s="398"/>
      <c r="D481" s="398"/>
      <c r="E481" s="398"/>
      <c r="F481" s="398"/>
      <c r="G481" s="177"/>
      <c r="H481" s="43"/>
      <c r="I481" s="50"/>
      <c r="J481" s="50"/>
      <c r="K481" s="189"/>
      <c r="L481" s="189"/>
      <c r="M481" s="189"/>
      <c r="N481" s="189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  <c r="FT481" s="37"/>
      <c r="FU481" s="37"/>
      <c r="FV481" s="37"/>
      <c r="FW481" s="37"/>
      <c r="FX481" s="37"/>
      <c r="FY481" s="37"/>
      <c r="FZ481" s="37"/>
      <c r="GA481" s="37"/>
      <c r="GB481" s="37"/>
      <c r="GC481" s="37"/>
      <c r="GD481" s="37"/>
      <c r="GE481" s="37"/>
      <c r="GF481" s="37"/>
      <c r="GG481" s="37"/>
      <c r="GH481" s="37"/>
      <c r="GI481" s="37"/>
    </row>
    <row r="482" spans="1:191">
      <c r="A482" s="398"/>
      <c r="B482" s="398"/>
      <c r="C482" s="398"/>
      <c r="D482" s="398"/>
      <c r="E482" s="398"/>
      <c r="F482" s="398"/>
      <c r="G482" s="177"/>
      <c r="H482" s="43"/>
      <c r="I482" s="50"/>
      <c r="J482" s="50"/>
      <c r="K482" s="189"/>
      <c r="L482" s="189"/>
      <c r="M482" s="189"/>
      <c r="N482" s="189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  <c r="FT482" s="37"/>
      <c r="FU482" s="37"/>
      <c r="FV482" s="37"/>
      <c r="FW482" s="37"/>
      <c r="FX482" s="37"/>
      <c r="FY482" s="37"/>
      <c r="FZ482" s="37"/>
      <c r="GA482" s="37"/>
      <c r="GB482" s="37"/>
      <c r="GC482" s="37"/>
      <c r="GD482" s="37"/>
      <c r="GE482" s="37"/>
      <c r="GF482" s="37"/>
      <c r="GG482" s="37"/>
      <c r="GH482" s="37"/>
      <c r="GI482" s="37"/>
    </row>
    <row r="483" spans="1:191">
      <c r="A483" s="398"/>
      <c r="B483" s="398"/>
      <c r="C483" s="398"/>
      <c r="D483" s="398"/>
      <c r="E483" s="398"/>
      <c r="F483" s="398"/>
      <c r="G483" s="177"/>
      <c r="H483" s="43"/>
      <c r="I483" s="50"/>
      <c r="J483" s="50"/>
      <c r="K483" s="189"/>
      <c r="L483" s="189"/>
      <c r="M483" s="189"/>
      <c r="N483" s="189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  <c r="FT483" s="37"/>
      <c r="FU483" s="37"/>
      <c r="FV483" s="37"/>
      <c r="FW483" s="37"/>
      <c r="FX483" s="37"/>
      <c r="FY483" s="37"/>
      <c r="FZ483" s="37"/>
      <c r="GA483" s="37"/>
      <c r="GB483" s="37"/>
      <c r="GC483" s="37"/>
      <c r="GD483" s="37"/>
      <c r="GE483" s="37"/>
      <c r="GF483" s="37"/>
      <c r="GG483" s="37"/>
      <c r="GH483" s="37"/>
      <c r="GI483" s="37"/>
    </row>
    <row r="484" spans="1:191">
      <c r="A484" s="398"/>
      <c r="B484" s="398"/>
      <c r="C484" s="398"/>
      <c r="D484" s="398"/>
      <c r="E484" s="398"/>
      <c r="F484" s="398"/>
      <c r="G484" s="177"/>
      <c r="H484" s="43"/>
      <c r="I484" s="50"/>
      <c r="J484" s="50"/>
      <c r="K484" s="189"/>
      <c r="L484" s="189"/>
      <c r="M484" s="189"/>
      <c r="N484" s="189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  <c r="FT484" s="37"/>
      <c r="FU484" s="37"/>
      <c r="FV484" s="37"/>
      <c r="FW484" s="37"/>
      <c r="FX484" s="37"/>
      <c r="FY484" s="37"/>
      <c r="FZ484" s="37"/>
      <c r="GA484" s="37"/>
      <c r="GB484" s="37"/>
      <c r="GC484" s="37"/>
      <c r="GD484" s="37"/>
      <c r="GE484" s="37"/>
      <c r="GF484" s="37"/>
      <c r="GG484" s="37"/>
      <c r="GH484" s="37"/>
      <c r="GI484" s="37"/>
    </row>
    <row r="485" spans="1:191">
      <c r="A485" s="398"/>
      <c r="B485" s="398"/>
      <c r="C485" s="398"/>
      <c r="D485" s="398"/>
      <c r="E485" s="398"/>
      <c r="F485" s="398"/>
      <c r="G485" s="177"/>
      <c r="H485" s="43"/>
      <c r="I485" s="50"/>
      <c r="J485" s="50"/>
      <c r="K485" s="189"/>
      <c r="L485" s="189"/>
      <c r="M485" s="189"/>
      <c r="N485" s="189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  <c r="FT485" s="37"/>
      <c r="FU485" s="37"/>
      <c r="FV485" s="37"/>
      <c r="FW485" s="37"/>
      <c r="FX485" s="37"/>
      <c r="FY485" s="37"/>
      <c r="FZ485" s="37"/>
      <c r="GA485" s="37"/>
      <c r="GB485" s="37"/>
      <c r="GC485" s="37"/>
      <c r="GD485" s="37"/>
      <c r="GE485" s="37"/>
      <c r="GF485" s="37"/>
      <c r="GG485" s="37"/>
      <c r="GH485" s="37"/>
      <c r="GI485" s="37"/>
    </row>
    <row r="486" spans="1:191">
      <c r="A486" s="398"/>
      <c r="B486" s="398"/>
      <c r="C486" s="398"/>
      <c r="D486" s="398"/>
      <c r="E486" s="398"/>
      <c r="F486" s="398"/>
      <c r="G486" s="177"/>
      <c r="H486" s="43"/>
      <c r="I486" s="50"/>
      <c r="J486" s="50"/>
      <c r="K486" s="189"/>
      <c r="L486" s="189"/>
      <c r="M486" s="189"/>
      <c r="N486" s="189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  <c r="FT486" s="37"/>
      <c r="FU486" s="37"/>
      <c r="FV486" s="37"/>
      <c r="FW486" s="37"/>
      <c r="FX486" s="37"/>
      <c r="FY486" s="37"/>
      <c r="FZ486" s="37"/>
      <c r="GA486" s="37"/>
      <c r="GB486" s="37"/>
      <c r="GC486" s="37"/>
      <c r="GD486" s="37"/>
      <c r="GE486" s="37"/>
      <c r="GF486" s="37"/>
      <c r="GG486" s="37"/>
      <c r="GH486" s="37"/>
      <c r="GI486" s="37"/>
    </row>
    <row r="487" spans="1:191">
      <c r="A487" s="398"/>
      <c r="B487" s="398"/>
      <c r="C487" s="398"/>
      <c r="D487" s="398"/>
      <c r="E487" s="398"/>
      <c r="F487" s="398"/>
      <c r="G487" s="177"/>
      <c r="H487" s="43"/>
      <c r="I487" s="50"/>
      <c r="J487" s="50"/>
      <c r="K487" s="189"/>
      <c r="L487" s="189"/>
      <c r="M487" s="189"/>
      <c r="N487" s="189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  <c r="FT487" s="37"/>
      <c r="FU487" s="37"/>
      <c r="FV487" s="37"/>
      <c r="FW487" s="37"/>
      <c r="FX487" s="37"/>
      <c r="FY487" s="37"/>
      <c r="FZ487" s="37"/>
      <c r="GA487" s="37"/>
      <c r="GB487" s="37"/>
      <c r="GC487" s="37"/>
      <c r="GD487" s="37"/>
      <c r="GE487" s="37"/>
      <c r="GF487" s="37"/>
      <c r="GG487" s="37"/>
      <c r="GH487" s="37"/>
      <c r="GI487" s="37"/>
    </row>
    <row r="488" spans="1:191">
      <c r="A488" s="398"/>
      <c r="B488" s="398"/>
      <c r="C488" s="398"/>
      <c r="D488" s="398"/>
      <c r="E488" s="398"/>
      <c r="F488" s="398"/>
      <c r="G488" s="177"/>
      <c r="H488" s="43"/>
      <c r="I488" s="50"/>
      <c r="J488" s="50"/>
      <c r="K488" s="189"/>
      <c r="L488" s="189"/>
      <c r="M488" s="189"/>
      <c r="N488" s="189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  <c r="FT488" s="37"/>
      <c r="FU488" s="37"/>
      <c r="FV488" s="37"/>
      <c r="FW488" s="37"/>
      <c r="FX488" s="37"/>
      <c r="FY488" s="37"/>
      <c r="FZ488" s="37"/>
      <c r="GA488" s="37"/>
      <c r="GB488" s="37"/>
      <c r="GC488" s="37"/>
      <c r="GD488" s="37"/>
      <c r="GE488" s="37"/>
      <c r="GF488" s="37"/>
      <c r="GG488" s="37"/>
      <c r="GH488" s="37"/>
      <c r="GI488" s="37"/>
    </row>
    <row r="489" spans="1:191">
      <c r="A489" s="398"/>
      <c r="B489" s="398"/>
      <c r="C489" s="398"/>
      <c r="D489" s="398"/>
      <c r="E489" s="398"/>
      <c r="F489" s="398"/>
      <c r="G489" s="177"/>
      <c r="H489" s="43"/>
      <c r="I489" s="50"/>
      <c r="J489" s="50"/>
      <c r="K489" s="189"/>
      <c r="L489" s="189"/>
      <c r="M489" s="189"/>
      <c r="N489" s="189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  <c r="EY489" s="37"/>
      <c r="EZ489" s="37"/>
      <c r="FA489" s="37"/>
      <c r="FB489" s="37"/>
      <c r="FC489" s="37"/>
      <c r="FD489" s="37"/>
      <c r="FE489" s="37"/>
      <c r="FF489" s="37"/>
      <c r="FG489" s="37"/>
      <c r="FH489" s="37"/>
      <c r="FI489" s="37"/>
      <c r="FJ489" s="37"/>
      <c r="FK489" s="37"/>
      <c r="FL489" s="37"/>
      <c r="FM489" s="37"/>
      <c r="FN489" s="37"/>
      <c r="FO489" s="37"/>
      <c r="FP489" s="37"/>
      <c r="FQ489" s="37"/>
      <c r="FR489" s="37"/>
      <c r="FS489" s="37"/>
      <c r="FT489" s="37"/>
      <c r="FU489" s="37"/>
      <c r="FV489" s="37"/>
      <c r="FW489" s="37"/>
      <c r="FX489" s="37"/>
      <c r="FY489" s="37"/>
      <c r="FZ489" s="37"/>
      <c r="GA489" s="37"/>
      <c r="GB489" s="37"/>
      <c r="GC489" s="37"/>
      <c r="GD489" s="37"/>
      <c r="GE489" s="37"/>
      <c r="GF489" s="37"/>
      <c r="GG489" s="37"/>
      <c r="GH489" s="37"/>
      <c r="GI489" s="37"/>
    </row>
    <row r="490" spans="1:191">
      <c r="A490" s="398"/>
      <c r="B490" s="398"/>
      <c r="C490" s="398"/>
      <c r="D490" s="398"/>
      <c r="E490" s="398"/>
      <c r="F490" s="398"/>
      <c r="G490" s="177"/>
      <c r="H490" s="43"/>
      <c r="I490" s="50"/>
      <c r="J490" s="50"/>
      <c r="K490" s="189"/>
      <c r="L490" s="189"/>
      <c r="M490" s="189"/>
      <c r="N490" s="189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  <c r="FT490" s="37"/>
      <c r="FU490" s="37"/>
      <c r="FV490" s="37"/>
      <c r="FW490" s="37"/>
      <c r="FX490" s="37"/>
      <c r="FY490" s="37"/>
      <c r="FZ490" s="37"/>
      <c r="GA490" s="37"/>
      <c r="GB490" s="37"/>
      <c r="GC490" s="37"/>
      <c r="GD490" s="37"/>
      <c r="GE490" s="37"/>
      <c r="GF490" s="37"/>
      <c r="GG490" s="37"/>
      <c r="GH490" s="37"/>
      <c r="GI490" s="37"/>
    </row>
    <row r="491" spans="1:191">
      <c r="A491" s="398"/>
      <c r="B491" s="398"/>
      <c r="C491" s="398"/>
      <c r="D491" s="398"/>
      <c r="E491" s="398"/>
      <c r="F491" s="398"/>
      <c r="G491" s="177"/>
      <c r="H491" s="43"/>
      <c r="I491" s="50"/>
      <c r="J491" s="50"/>
      <c r="K491" s="189"/>
      <c r="L491" s="189"/>
      <c r="M491" s="189"/>
      <c r="N491" s="189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  <c r="FT491" s="37"/>
      <c r="FU491" s="37"/>
      <c r="FV491" s="37"/>
      <c r="FW491" s="37"/>
      <c r="FX491" s="37"/>
      <c r="FY491" s="37"/>
      <c r="FZ491" s="37"/>
      <c r="GA491" s="37"/>
      <c r="GB491" s="37"/>
      <c r="GC491" s="37"/>
      <c r="GD491" s="37"/>
      <c r="GE491" s="37"/>
      <c r="GF491" s="37"/>
      <c r="GG491" s="37"/>
      <c r="GH491" s="37"/>
      <c r="GI491" s="37"/>
    </row>
    <row r="492" spans="1:191">
      <c r="A492" s="398"/>
      <c r="B492" s="398"/>
      <c r="C492" s="398"/>
      <c r="D492" s="398"/>
      <c r="E492" s="398"/>
      <c r="F492" s="398"/>
      <c r="G492" s="177"/>
      <c r="H492" s="43"/>
      <c r="I492" s="50"/>
      <c r="J492" s="50"/>
      <c r="K492" s="189"/>
      <c r="L492" s="189"/>
      <c r="M492" s="189"/>
      <c r="N492" s="189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  <c r="FT492" s="37"/>
      <c r="FU492" s="37"/>
      <c r="FV492" s="37"/>
      <c r="FW492" s="37"/>
      <c r="FX492" s="37"/>
      <c r="FY492" s="37"/>
      <c r="FZ492" s="37"/>
      <c r="GA492" s="37"/>
      <c r="GB492" s="37"/>
      <c r="GC492" s="37"/>
      <c r="GD492" s="37"/>
      <c r="GE492" s="37"/>
      <c r="GF492" s="37"/>
      <c r="GG492" s="37"/>
      <c r="GH492" s="37"/>
      <c r="GI492" s="37"/>
    </row>
    <row r="493" spans="1:191">
      <c r="A493" s="398"/>
      <c r="B493" s="398"/>
      <c r="C493" s="398"/>
      <c r="D493" s="398"/>
      <c r="E493" s="398"/>
      <c r="F493" s="398"/>
      <c r="G493" s="177"/>
      <c r="H493" s="43"/>
      <c r="I493" s="50"/>
      <c r="J493" s="50"/>
      <c r="K493" s="189"/>
      <c r="L493" s="189"/>
      <c r="M493" s="189"/>
      <c r="N493" s="189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  <c r="FT493" s="37"/>
      <c r="FU493" s="37"/>
      <c r="FV493" s="37"/>
      <c r="FW493" s="37"/>
      <c r="FX493" s="37"/>
      <c r="FY493" s="37"/>
      <c r="FZ493" s="37"/>
      <c r="GA493" s="37"/>
      <c r="GB493" s="37"/>
      <c r="GC493" s="37"/>
      <c r="GD493" s="37"/>
      <c r="GE493" s="37"/>
      <c r="GF493" s="37"/>
      <c r="GG493" s="37"/>
      <c r="GH493" s="37"/>
      <c r="GI493" s="37"/>
    </row>
    <row r="494" spans="1:191">
      <c r="A494" s="398"/>
      <c r="B494" s="398"/>
      <c r="C494" s="398"/>
      <c r="D494" s="398"/>
      <c r="E494" s="398"/>
      <c r="F494" s="398"/>
      <c r="G494" s="177"/>
      <c r="H494" s="43"/>
      <c r="I494" s="50"/>
      <c r="J494" s="50"/>
      <c r="K494" s="189"/>
      <c r="L494" s="189"/>
      <c r="M494" s="189"/>
      <c r="N494" s="189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  <c r="FT494" s="37"/>
      <c r="FU494" s="37"/>
      <c r="FV494" s="37"/>
      <c r="FW494" s="37"/>
      <c r="FX494" s="37"/>
      <c r="FY494" s="37"/>
      <c r="FZ494" s="37"/>
      <c r="GA494" s="37"/>
      <c r="GB494" s="37"/>
      <c r="GC494" s="37"/>
      <c r="GD494" s="37"/>
      <c r="GE494" s="37"/>
      <c r="GF494" s="37"/>
      <c r="GG494" s="37"/>
      <c r="GH494" s="37"/>
      <c r="GI494" s="37"/>
    </row>
    <row r="495" spans="1:191">
      <c r="A495" s="398"/>
      <c r="B495" s="398"/>
      <c r="C495" s="398"/>
      <c r="D495" s="398"/>
      <c r="E495" s="398"/>
      <c r="F495" s="398"/>
      <c r="G495" s="177"/>
      <c r="H495" s="43"/>
      <c r="I495" s="50"/>
      <c r="J495" s="50"/>
      <c r="K495" s="189"/>
      <c r="L495" s="189"/>
      <c r="M495" s="189"/>
      <c r="N495" s="189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  <c r="FT495" s="37"/>
      <c r="FU495" s="37"/>
      <c r="FV495" s="37"/>
      <c r="FW495" s="37"/>
      <c r="FX495" s="37"/>
      <c r="FY495" s="37"/>
      <c r="FZ495" s="37"/>
      <c r="GA495" s="37"/>
      <c r="GB495" s="37"/>
      <c r="GC495" s="37"/>
      <c r="GD495" s="37"/>
      <c r="GE495" s="37"/>
      <c r="GF495" s="37"/>
      <c r="GG495" s="37"/>
      <c r="GH495" s="37"/>
      <c r="GI495" s="37"/>
    </row>
    <row r="496" spans="1:191">
      <c r="A496" s="398"/>
      <c r="B496" s="398"/>
      <c r="C496" s="398"/>
      <c r="D496" s="398"/>
      <c r="E496" s="398"/>
      <c r="F496" s="398"/>
      <c r="G496" s="177"/>
      <c r="H496" s="43"/>
      <c r="I496" s="50"/>
      <c r="J496" s="50"/>
      <c r="K496" s="189"/>
      <c r="L496" s="189"/>
      <c r="M496" s="189"/>
      <c r="N496" s="189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  <c r="FT496" s="37"/>
      <c r="FU496" s="37"/>
      <c r="FV496" s="37"/>
      <c r="FW496" s="37"/>
      <c r="FX496" s="37"/>
      <c r="FY496" s="37"/>
      <c r="FZ496" s="37"/>
      <c r="GA496" s="37"/>
      <c r="GB496" s="37"/>
      <c r="GC496" s="37"/>
      <c r="GD496" s="37"/>
      <c r="GE496" s="37"/>
      <c r="GF496" s="37"/>
      <c r="GG496" s="37"/>
      <c r="GH496" s="37"/>
      <c r="GI496" s="37"/>
    </row>
    <row r="497" spans="1:191">
      <c r="A497" s="398"/>
      <c r="B497" s="398"/>
      <c r="C497" s="398"/>
      <c r="D497" s="398"/>
      <c r="E497" s="398"/>
      <c r="F497" s="398"/>
      <c r="G497" s="177"/>
      <c r="H497" s="43"/>
      <c r="I497" s="50"/>
      <c r="J497" s="50"/>
      <c r="K497" s="189"/>
      <c r="L497" s="189"/>
      <c r="M497" s="189"/>
      <c r="N497" s="189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  <c r="FT497" s="37"/>
      <c r="FU497" s="37"/>
      <c r="FV497" s="37"/>
      <c r="FW497" s="37"/>
      <c r="FX497" s="37"/>
      <c r="FY497" s="37"/>
      <c r="FZ497" s="37"/>
      <c r="GA497" s="37"/>
      <c r="GB497" s="37"/>
      <c r="GC497" s="37"/>
      <c r="GD497" s="37"/>
      <c r="GE497" s="37"/>
      <c r="GF497" s="37"/>
      <c r="GG497" s="37"/>
      <c r="GH497" s="37"/>
      <c r="GI497" s="37"/>
    </row>
    <row r="498" spans="1:191">
      <c r="A498" s="398"/>
      <c r="B498" s="398"/>
      <c r="C498" s="398"/>
      <c r="D498" s="398"/>
      <c r="E498" s="398"/>
      <c r="F498" s="398"/>
      <c r="G498" s="177"/>
      <c r="H498" s="43"/>
      <c r="I498" s="50"/>
      <c r="J498" s="50"/>
      <c r="K498" s="189"/>
      <c r="L498" s="189"/>
      <c r="M498" s="189"/>
      <c r="N498" s="189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</row>
    <row r="499" spans="1:191">
      <c r="A499" s="398"/>
      <c r="B499" s="398"/>
      <c r="C499" s="398"/>
      <c r="D499" s="398"/>
      <c r="E499" s="398"/>
      <c r="F499" s="398"/>
      <c r="G499" s="177"/>
      <c r="H499" s="43"/>
      <c r="I499" s="50"/>
      <c r="J499" s="50"/>
      <c r="K499" s="189"/>
      <c r="L499" s="189"/>
      <c r="M499" s="189"/>
      <c r="N499" s="189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</row>
    <row r="500" spans="1:191">
      <c r="A500" s="398"/>
      <c r="B500" s="398"/>
      <c r="C500" s="398"/>
      <c r="D500" s="398"/>
      <c r="E500" s="398"/>
      <c r="F500" s="398"/>
      <c r="G500" s="177"/>
      <c r="H500" s="43"/>
      <c r="I500" s="50"/>
      <c r="J500" s="50"/>
      <c r="K500" s="189"/>
      <c r="L500" s="189"/>
      <c r="M500" s="189"/>
      <c r="N500" s="189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  <c r="FT500" s="37"/>
      <c r="FU500" s="37"/>
      <c r="FV500" s="37"/>
      <c r="FW500" s="37"/>
      <c r="FX500" s="37"/>
      <c r="FY500" s="37"/>
      <c r="FZ500" s="37"/>
      <c r="GA500" s="37"/>
      <c r="GB500" s="37"/>
      <c r="GC500" s="37"/>
      <c r="GD500" s="37"/>
      <c r="GE500" s="37"/>
      <c r="GF500" s="37"/>
      <c r="GG500" s="37"/>
      <c r="GH500" s="37"/>
      <c r="GI500" s="37"/>
    </row>
    <row r="501" spans="1:191">
      <c r="A501" s="398"/>
      <c r="B501" s="398"/>
      <c r="C501" s="398"/>
      <c r="D501" s="398"/>
      <c r="E501" s="398"/>
      <c r="F501" s="398"/>
      <c r="G501" s="177"/>
      <c r="H501" s="43"/>
      <c r="I501" s="50"/>
      <c r="J501" s="50"/>
      <c r="K501" s="189"/>
      <c r="L501" s="189"/>
      <c r="M501" s="189"/>
      <c r="N501" s="189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  <c r="FE501" s="37"/>
      <c r="FF501" s="37"/>
      <c r="FG501" s="37"/>
      <c r="FH501" s="37"/>
      <c r="FI501" s="37"/>
      <c r="FJ501" s="37"/>
      <c r="FK501" s="37"/>
      <c r="FL501" s="37"/>
      <c r="FM501" s="37"/>
      <c r="FN501" s="37"/>
      <c r="FO501" s="37"/>
      <c r="FP501" s="37"/>
      <c r="FQ501" s="37"/>
      <c r="FR501" s="37"/>
      <c r="FS501" s="37"/>
      <c r="FT501" s="37"/>
      <c r="FU501" s="37"/>
      <c r="FV501" s="37"/>
      <c r="FW501" s="37"/>
      <c r="FX501" s="37"/>
      <c r="FY501" s="37"/>
      <c r="FZ501" s="37"/>
      <c r="GA501" s="37"/>
      <c r="GB501" s="37"/>
      <c r="GC501" s="37"/>
      <c r="GD501" s="37"/>
      <c r="GE501" s="37"/>
      <c r="GF501" s="37"/>
      <c r="GG501" s="37"/>
      <c r="GH501" s="37"/>
      <c r="GI501" s="37"/>
    </row>
    <row r="502" spans="1:191">
      <c r="A502" s="398"/>
      <c r="B502" s="398"/>
      <c r="C502" s="398"/>
      <c r="D502" s="398"/>
      <c r="E502" s="398"/>
      <c r="F502" s="398"/>
      <c r="G502" s="177"/>
      <c r="H502" s="43"/>
      <c r="I502" s="50"/>
      <c r="J502" s="50"/>
      <c r="K502" s="189"/>
      <c r="L502" s="189"/>
      <c r="M502" s="189"/>
      <c r="N502" s="189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  <c r="FT502" s="37"/>
      <c r="FU502" s="37"/>
      <c r="FV502" s="37"/>
      <c r="FW502" s="37"/>
      <c r="FX502" s="37"/>
      <c r="FY502" s="37"/>
      <c r="FZ502" s="37"/>
      <c r="GA502" s="37"/>
      <c r="GB502" s="37"/>
      <c r="GC502" s="37"/>
      <c r="GD502" s="37"/>
      <c r="GE502" s="37"/>
      <c r="GF502" s="37"/>
      <c r="GG502" s="37"/>
      <c r="GH502" s="37"/>
      <c r="GI502" s="37"/>
    </row>
    <row r="503" spans="1:191">
      <c r="A503" s="398"/>
      <c r="B503" s="398"/>
      <c r="C503" s="398"/>
      <c r="D503" s="398"/>
      <c r="E503" s="398"/>
      <c r="F503" s="398"/>
      <c r="G503" s="177"/>
      <c r="H503" s="43"/>
      <c r="I503" s="50"/>
      <c r="J503" s="50"/>
      <c r="K503" s="189"/>
      <c r="L503" s="189"/>
      <c r="M503" s="189"/>
      <c r="N503" s="189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  <c r="FV503" s="37"/>
      <c r="FW503" s="37"/>
      <c r="FX503" s="37"/>
      <c r="FY503" s="37"/>
      <c r="FZ503" s="37"/>
      <c r="GA503" s="37"/>
      <c r="GB503" s="37"/>
      <c r="GC503" s="37"/>
      <c r="GD503" s="37"/>
      <c r="GE503" s="37"/>
      <c r="GF503" s="37"/>
      <c r="GG503" s="37"/>
      <c r="GH503" s="37"/>
      <c r="GI503" s="37"/>
    </row>
    <row r="504" spans="1:191">
      <c r="A504" s="398"/>
      <c r="B504" s="398"/>
      <c r="C504" s="398"/>
      <c r="D504" s="398"/>
      <c r="E504" s="398"/>
      <c r="F504" s="398"/>
      <c r="G504" s="177"/>
      <c r="H504" s="43"/>
      <c r="I504" s="50"/>
      <c r="J504" s="50"/>
      <c r="K504" s="189"/>
      <c r="L504" s="189"/>
      <c r="M504" s="189"/>
      <c r="N504" s="189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  <c r="FT504" s="37"/>
      <c r="FU504" s="37"/>
      <c r="FV504" s="37"/>
      <c r="FW504" s="37"/>
      <c r="FX504" s="37"/>
      <c r="FY504" s="37"/>
      <c r="FZ504" s="37"/>
      <c r="GA504" s="37"/>
      <c r="GB504" s="37"/>
      <c r="GC504" s="37"/>
      <c r="GD504" s="37"/>
      <c r="GE504" s="37"/>
      <c r="GF504" s="37"/>
      <c r="GG504" s="37"/>
      <c r="GH504" s="37"/>
      <c r="GI504" s="37"/>
    </row>
    <row r="505" spans="1:191">
      <c r="A505" s="398"/>
      <c r="B505" s="398"/>
      <c r="C505" s="398"/>
      <c r="D505" s="398"/>
      <c r="E505" s="398"/>
      <c r="F505" s="398"/>
      <c r="G505" s="177"/>
      <c r="H505" s="43"/>
      <c r="I505" s="50"/>
      <c r="J505" s="50"/>
      <c r="K505" s="189"/>
      <c r="L505" s="189"/>
      <c r="M505" s="189"/>
      <c r="N505" s="189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  <c r="FE505" s="37"/>
      <c r="FF505" s="37"/>
      <c r="FG505" s="37"/>
      <c r="FH505" s="37"/>
      <c r="FI505" s="37"/>
      <c r="FJ505" s="37"/>
      <c r="FK505" s="37"/>
      <c r="FL505" s="37"/>
      <c r="FM505" s="37"/>
      <c r="FN505" s="37"/>
      <c r="FO505" s="37"/>
      <c r="FP505" s="37"/>
      <c r="FQ505" s="37"/>
      <c r="FR505" s="37"/>
      <c r="FS505" s="37"/>
      <c r="FT505" s="37"/>
      <c r="FU505" s="37"/>
      <c r="FV505" s="37"/>
      <c r="FW505" s="37"/>
      <c r="FX505" s="37"/>
      <c r="FY505" s="37"/>
      <c r="FZ505" s="37"/>
      <c r="GA505" s="37"/>
      <c r="GB505" s="37"/>
      <c r="GC505" s="37"/>
      <c r="GD505" s="37"/>
      <c r="GE505" s="37"/>
      <c r="GF505" s="37"/>
      <c r="GG505" s="37"/>
      <c r="GH505" s="37"/>
      <c r="GI505" s="37"/>
    </row>
    <row r="506" spans="1:191">
      <c r="A506" s="398"/>
      <c r="B506" s="398"/>
      <c r="C506" s="398"/>
      <c r="D506" s="398"/>
      <c r="E506" s="398"/>
      <c r="F506" s="398"/>
      <c r="G506" s="177"/>
      <c r="H506" s="43"/>
      <c r="I506" s="50"/>
      <c r="J506" s="50"/>
      <c r="K506" s="189"/>
      <c r="L506" s="189"/>
      <c r="M506" s="189"/>
      <c r="N506" s="189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  <c r="EY506" s="37"/>
      <c r="EZ506" s="37"/>
      <c r="FA506" s="37"/>
      <c r="FB506" s="37"/>
      <c r="FC506" s="37"/>
      <c r="FD506" s="37"/>
      <c r="FE506" s="37"/>
      <c r="FF506" s="37"/>
      <c r="FG506" s="37"/>
      <c r="FH506" s="37"/>
      <c r="FI506" s="37"/>
      <c r="FJ506" s="37"/>
      <c r="FK506" s="37"/>
      <c r="FL506" s="37"/>
      <c r="FM506" s="37"/>
      <c r="FN506" s="37"/>
      <c r="FO506" s="37"/>
      <c r="FP506" s="37"/>
      <c r="FQ506" s="37"/>
      <c r="FR506" s="37"/>
      <c r="FS506" s="37"/>
      <c r="FT506" s="37"/>
      <c r="FU506" s="37"/>
      <c r="FV506" s="37"/>
      <c r="FW506" s="37"/>
      <c r="FX506" s="37"/>
      <c r="FY506" s="37"/>
      <c r="FZ506" s="37"/>
      <c r="GA506" s="37"/>
      <c r="GB506" s="37"/>
      <c r="GC506" s="37"/>
      <c r="GD506" s="37"/>
      <c r="GE506" s="37"/>
      <c r="GF506" s="37"/>
      <c r="GG506" s="37"/>
      <c r="GH506" s="37"/>
      <c r="GI506" s="37"/>
    </row>
    <row r="507" spans="1:191">
      <c r="A507" s="398"/>
      <c r="B507" s="398"/>
      <c r="C507" s="398"/>
      <c r="D507" s="398"/>
      <c r="E507" s="398"/>
      <c r="F507" s="398"/>
      <c r="G507" s="177"/>
      <c r="H507" s="43"/>
      <c r="I507" s="50"/>
      <c r="J507" s="50"/>
      <c r="K507" s="189"/>
      <c r="L507" s="189"/>
      <c r="M507" s="189"/>
      <c r="N507" s="189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  <c r="EY507" s="37"/>
      <c r="EZ507" s="37"/>
      <c r="FA507" s="37"/>
      <c r="FB507" s="37"/>
      <c r="FC507" s="37"/>
      <c r="FD507" s="37"/>
      <c r="FE507" s="37"/>
      <c r="FF507" s="37"/>
      <c r="FG507" s="37"/>
      <c r="FH507" s="37"/>
      <c r="FI507" s="37"/>
      <c r="FJ507" s="37"/>
      <c r="FK507" s="37"/>
      <c r="FL507" s="37"/>
      <c r="FM507" s="37"/>
      <c r="FN507" s="37"/>
      <c r="FO507" s="37"/>
      <c r="FP507" s="37"/>
      <c r="FQ507" s="37"/>
      <c r="FR507" s="37"/>
      <c r="FS507" s="37"/>
      <c r="FT507" s="37"/>
      <c r="FU507" s="37"/>
      <c r="FV507" s="37"/>
      <c r="FW507" s="37"/>
      <c r="FX507" s="37"/>
      <c r="FY507" s="37"/>
      <c r="FZ507" s="37"/>
      <c r="GA507" s="37"/>
      <c r="GB507" s="37"/>
      <c r="GC507" s="37"/>
      <c r="GD507" s="37"/>
      <c r="GE507" s="37"/>
      <c r="GF507" s="37"/>
      <c r="GG507" s="37"/>
      <c r="GH507" s="37"/>
      <c r="GI507" s="37"/>
    </row>
    <row r="508" spans="1:191">
      <c r="A508" s="398"/>
      <c r="B508" s="398"/>
      <c r="C508" s="398"/>
      <c r="D508" s="398"/>
      <c r="E508" s="398"/>
      <c r="F508" s="398"/>
      <c r="G508" s="177"/>
      <c r="H508" s="43"/>
      <c r="I508" s="50"/>
      <c r="J508" s="50"/>
      <c r="K508" s="189"/>
      <c r="L508" s="189"/>
      <c r="M508" s="189"/>
      <c r="N508" s="189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  <c r="EY508" s="37"/>
      <c r="EZ508" s="37"/>
      <c r="FA508" s="37"/>
      <c r="FB508" s="37"/>
      <c r="FC508" s="37"/>
      <c r="FD508" s="37"/>
      <c r="FE508" s="37"/>
      <c r="FF508" s="37"/>
      <c r="FG508" s="37"/>
      <c r="FH508" s="37"/>
      <c r="FI508" s="37"/>
      <c r="FJ508" s="37"/>
      <c r="FK508" s="37"/>
      <c r="FL508" s="37"/>
      <c r="FM508" s="37"/>
      <c r="FN508" s="37"/>
      <c r="FO508" s="37"/>
      <c r="FP508" s="37"/>
      <c r="FQ508" s="37"/>
      <c r="FR508" s="37"/>
      <c r="FS508" s="37"/>
      <c r="FT508" s="37"/>
      <c r="FU508" s="37"/>
      <c r="FV508" s="37"/>
      <c r="FW508" s="37"/>
      <c r="FX508" s="37"/>
      <c r="FY508" s="37"/>
      <c r="FZ508" s="37"/>
      <c r="GA508" s="37"/>
      <c r="GB508" s="37"/>
      <c r="GC508" s="37"/>
      <c r="GD508" s="37"/>
      <c r="GE508" s="37"/>
      <c r="GF508" s="37"/>
      <c r="GG508" s="37"/>
      <c r="GH508" s="37"/>
      <c r="GI508" s="37"/>
    </row>
    <row r="509" spans="1:191">
      <c r="A509" s="398"/>
      <c r="B509" s="398"/>
      <c r="C509" s="398"/>
      <c r="D509" s="398"/>
      <c r="E509" s="398"/>
      <c r="F509" s="398"/>
      <c r="G509" s="177"/>
      <c r="H509" s="43"/>
      <c r="I509" s="50"/>
      <c r="J509" s="50"/>
      <c r="K509" s="189"/>
      <c r="L509" s="189"/>
      <c r="M509" s="189"/>
      <c r="N509" s="189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  <c r="EY509" s="37"/>
      <c r="EZ509" s="37"/>
      <c r="FA509" s="37"/>
      <c r="FB509" s="37"/>
      <c r="FC509" s="37"/>
      <c r="FD509" s="37"/>
      <c r="FE509" s="37"/>
      <c r="FF509" s="37"/>
      <c r="FG509" s="37"/>
      <c r="FH509" s="37"/>
      <c r="FI509" s="37"/>
      <c r="FJ509" s="37"/>
      <c r="FK509" s="37"/>
      <c r="FL509" s="37"/>
      <c r="FM509" s="37"/>
      <c r="FN509" s="37"/>
      <c r="FO509" s="37"/>
      <c r="FP509" s="37"/>
      <c r="FQ509" s="37"/>
      <c r="FR509" s="37"/>
      <c r="FS509" s="37"/>
      <c r="FT509" s="37"/>
      <c r="FU509" s="37"/>
      <c r="FV509" s="37"/>
      <c r="FW509" s="37"/>
      <c r="FX509" s="37"/>
      <c r="FY509" s="37"/>
      <c r="FZ509" s="37"/>
      <c r="GA509" s="37"/>
      <c r="GB509" s="37"/>
      <c r="GC509" s="37"/>
      <c r="GD509" s="37"/>
      <c r="GE509" s="37"/>
      <c r="GF509" s="37"/>
      <c r="GG509" s="37"/>
      <c r="GH509" s="37"/>
      <c r="GI509" s="37"/>
    </row>
    <row r="510" spans="1:191">
      <c r="A510" s="398"/>
      <c r="B510" s="398"/>
      <c r="C510" s="398"/>
      <c r="D510" s="398"/>
      <c r="E510" s="398"/>
      <c r="F510" s="398"/>
      <c r="G510" s="177"/>
      <c r="H510" s="43"/>
      <c r="I510" s="50"/>
      <c r="J510" s="50"/>
      <c r="K510" s="189"/>
      <c r="L510" s="189"/>
      <c r="M510" s="189"/>
      <c r="N510" s="189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  <c r="FE510" s="37"/>
      <c r="FF510" s="37"/>
      <c r="FG510" s="37"/>
      <c r="FH510" s="37"/>
      <c r="FI510" s="37"/>
      <c r="FJ510" s="37"/>
      <c r="FK510" s="37"/>
      <c r="FL510" s="37"/>
      <c r="FM510" s="37"/>
      <c r="FN510" s="37"/>
      <c r="FO510" s="37"/>
      <c r="FP510" s="37"/>
      <c r="FQ510" s="37"/>
      <c r="FR510" s="37"/>
      <c r="FS510" s="37"/>
      <c r="FT510" s="37"/>
      <c r="FU510" s="37"/>
      <c r="FV510" s="37"/>
      <c r="FW510" s="37"/>
      <c r="FX510" s="37"/>
      <c r="FY510" s="37"/>
      <c r="FZ510" s="37"/>
      <c r="GA510" s="37"/>
      <c r="GB510" s="37"/>
      <c r="GC510" s="37"/>
      <c r="GD510" s="37"/>
      <c r="GE510" s="37"/>
      <c r="GF510" s="37"/>
      <c r="GG510" s="37"/>
      <c r="GH510" s="37"/>
      <c r="GI510" s="37"/>
    </row>
    <row r="511" spans="1:191">
      <c r="A511" s="398"/>
      <c r="B511" s="398"/>
      <c r="C511" s="398"/>
      <c r="D511" s="398"/>
      <c r="E511" s="398"/>
      <c r="F511" s="398"/>
      <c r="G511" s="177"/>
      <c r="H511" s="43"/>
      <c r="I511" s="50"/>
      <c r="J511" s="50"/>
      <c r="K511" s="189"/>
      <c r="L511" s="189"/>
      <c r="M511" s="189"/>
      <c r="N511" s="189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  <c r="EY511" s="37"/>
      <c r="EZ511" s="37"/>
      <c r="FA511" s="37"/>
      <c r="FB511" s="37"/>
      <c r="FC511" s="37"/>
      <c r="FD511" s="37"/>
      <c r="FE511" s="37"/>
      <c r="FF511" s="37"/>
      <c r="FG511" s="37"/>
      <c r="FH511" s="37"/>
      <c r="FI511" s="37"/>
      <c r="FJ511" s="37"/>
      <c r="FK511" s="37"/>
      <c r="FL511" s="37"/>
      <c r="FM511" s="37"/>
      <c r="FN511" s="37"/>
      <c r="FO511" s="37"/>
      <c r="FP511" s="37"/>
      <c r="FQ511" s="37"/>
      <c r="FR511" s="37"/>
      <c r="FS511" s="37"/>
      <c r="FT511" s="37"/>
      <c r="FU511" s="37"/>
      <c r="FV511" s="37"/>
      <c r="FW511" s="37"/>
      <c r="FX511" s="37"/>
      <c r="FY511" s="37"/>
      <c r="FZ511" s="37"/>
      <c r="GA511" s="37"/>
      <c r="GB511" s="37"/>
      <c r="GC511" s="37"/>
      <c r="GD511" s="37"/>
      <c r="GE511" s="37"/>
      <c r="GF511" s="37"/>
      <c r="GG511" s="37"/>
      <c r="GH511" s="37"/>
      <c r="GI511" s="37"/>
    </row>
    <row r="512" spans="1:191">
      <c r="A512" s="398"/>
      <c r="B512" s="398"/>
      <c r="C512" s="398"/>
      <c r="D512" s="398"/>
      <c r="E512" s="398"/>
      <c r="F512" s="398"/>
      <c r="G512" s="177"/>
      <c r="H512" s="43"/>
      <c r="I512" s="50"/>
      <c r="J512" s="50"/>
      <c r="K512" s="189"/>
      <c r="L512" s="189"/>
      <c r="M512" s="189"/>
      <c r="N512" s="189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  <c r="EY512" s="37"/>
      <c r="EZ512" s="37"/>
      <c r="FA512" s="37"/>
      <c r="FB512" s="37"/>
      <c r="FC512" s="37"/>
      <c r="FD512" s="37"/>
      <c r="FE512" s="37"/>
      <c r="FF512" s="37"/>
      <c r="FG512" s="37"/>
      <c r="FH512" s="37"/>
      <c r="FI512" s="37"/>
      <c r="FJ512" s="37"/>
      <c r="FK512" s="37"/>
      <c r="FL512" s="37"/>
      <c r="FM512" s="37"/>
      <c r="FN512" s="37"/>
      <c r="FO512" s="37"/>
      <c r="FP512" s="37"/>
      <c r="FQ512" s="37"/>
      <c r="FR512" s="37"/>
      <c r="FS512" s="37"/>
      <c r="FT512" s="37"/>
      <c r="FU512" s="37"/>
      <c r="FV512" s="37"/>
      <c r="FW512" s="37"/>
      <c r="FX512" s="37"/>
      <c r="FY512" s="37"/>
      <c r="FZ512" s="37"/>
      <c r="GA512" s="37"/>
      <c r="GB512" s="37"/>
      <c r="GC512" s="37"/>
      <c r="GD512" s="37"/>
      <c r="GE512" s="37"/>
      <c r="GF512" s="37"/>
      <c r="GG512" s="37"/>
      <c r="GH512" s="37"/>
      <c r="GI512" s="37"/>
    </row>
    <row r="513" spans="1:191">
      <c r="A513" s="398"/>
      <c r="B513" s="398"/>
      <c r="C513" s="398"/>
      <c r="D513" s="398"/>
      <c r="E513" s="398"/>
      <c r="F513" s="398"/>
      <c r="G513" s="177"/>
      <c r="H513" s="43"/>
      <c r="I513" s="50"/>
      <c r="J513" s="50"/>
      <c r="K513" s="189"/>
      <c r="L513" s="189"/>
      <c r="M513" s="189"/>
      <c r="N513" s="189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  <c r="FE513" s="37"/>
      <c r="FF513" s="37"/>
      <c r="FG513" s="37"/>
      <c r="FH513" s="37"/>
      <c r="FI513" s="37"/>
      <c r="FJ513" s="37"/>
      <c r="FK513" s="37"/>
      <c r="FL513" s="37"/>
      <c r="FM513" s="37"/>
      <c r="FN513" s="37"/>
      <c r="FO513" s="37"/>
      <c r="FP513" s="37"/>
      <c r="FQ513" s="37"/>
      <c r="FR513" s="37"/>
      <c r="FS513" s="37"/>
      <c r="FT513" s="37"/>
      <c r="FU513" s="37"/>
      <c r="FV513" s="37"/>
      <c r="FW513" s="37"/>
      <c r="FX513" s="37"/>
      <c r="FY513" s="37"/>
      <c r="FZ513" s="37"/>
      <c r="GA513" s="37"/>
      <c r="GB513" s="37"/>
      <c r="GC513" s="37"/>
      <c r="GD513" s="37"/>
      <c r="GE513" s="37"/>
      <c r="GF513" s="37"/>
      <c r="GG513" s="37"/>
      <c r="GH513" s="37"/>
      <c r="GI513" s="37"/>
    </row>
    <row r="514" spans="1:191">
      <c r="A514" s="398"/>
      <c r="B514" s="398"/>
      <c r="C514" s="398"/>
      <c r="D514" s="398"/>
      <c r="E514" s="398"/>
      <c r="F514" s="398"/>
      <c r="G514" s="177"/>
      <c r="H514" s="43"/>
      <c r="I514" s="50"/>
      <c r="J514" s="50"/>
      <c r="K514" s="189"/>
      <c r="L514" s="189"/>
      <c r="M514" s="189"/>
      <c r="N514" s="189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  <c r="FE514" s="37"/>
      <c r="FF514" s="37"/>
      <c r="FG514" s="37"/>
      <c r="FH514" s="37"/>
      <c r="FI514" s="37"/>
      <c r="FJ514" s="37"/>
      <c r="FK514" s="37"/>
      <c r="FL514" s="37"/>
      <c r="FM514" s="37"/>
      <c r="FN514" s="37"/>
      <c r="FO514" s="37"/>
      <c r="FP514" s="37"/>
      <c r="FQ514" s="37"/>
      <c r="FR514" s="37"/>
      <c r="FS514" s="37"/>
      <c r="FT514" s="37"/>
      <c r="FU514" s="37"/>
      <c r="FV514" s="37"/>
      <c r="FW514" s="37"/>
      <c r="FX514" s="37"/>
      <c r="FY514" s="37"/>
      <c r="FZ514" s="37"/>
      <c r="GA514" s="37"/>
      <c r="GB514" s="37"/>
      <c r="GC514" s="37"/>
      <c r="GD514" s="37"/>
      <c r="GE514" s="37"/>
      <c r="GF514" s="37"/>
      <c r="GG514" s="37"/>
      <c r="GH514" s="37"/>
      <c r="GI514" s="37"/>
    </row>
    <row r="515" spans="1:191">
      <c r="A515" s="398"/>
      <c r="B515" s="398"/>
      <c r="C515" s="398"/>
      <c r="D515" s="398"/>
      <c r="E515" s="398"/>
      <c r="F515" s="398"/>
      <c r="G515" s="177"/>
      <c r="H515" s="43"/>
      <c r="I515" s="50"/>
      <c r="J515" s="50"/>
      <c r="K515" s="189"/>
      <c r="L515" s="189"/>
      <c r="M515" s="189"/>
      <c r="N515" s="189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  <c r="EY515" s="37"/>
      <c r="EZ515" s="37"/>
      <c r="FA515" s="37"/>
      <c r="FB515" s="37"/>
      <c r="FC515" s="37"/>
      <c r="FD515" s="37"/>
      <c r="FE515" s="37"/>
      <c r="FF515" s="37"/>
      <c r="FG515" s="37"/>
      <c r="FH515" s="37"/>
      <c r="FI515" s="37"/>
      <c r="FJ515" s="37"/>
      <c r="FK515" s="37"/>
      <c r="FL515" s="37"/>
      <c r="FM515" s="37"/>
      <c r="FN515" s="37"/>
      <c r="FO515" s="37"/>
      <c r="FP515" s="37"/>
      <c r="FQ515" s="37"/>
      <c r="FR515" s="37"/>
      <c r="FS515" s="37"/>
      <c r="FT515" s="37"/>
      <c r="FU515" s="37"/>
      <c r="FV515" s="37"/>
      <c r="FW515" s="37"/>
      <c r="FX515" s="37"/>
      <c r="FY515" s="37"/>
      <c r="FZ515" s="37"/>
      <c r="GA515" s="37"/>
      <c r="GB515" s="37"/>
      <c r="GC515" s="37"/>
      <c r="GD515" s="37"/>
      <c r="GE515" s="37"/>
      <c r="GF515" s="37"/>
      <c r="GG515" s="37"/>
      <c r="GH515" s="37"/>
      <c r="GI515" s="37"/>
    </row>
    <row r="516" spans="1:191">
      <c r="A516" s="398"/>
      <c r="B516" s="398"/>
      <c r="C516" s="398"/>
      <c r="D516" s="398"/>
      <c r="E516" s="398"/>
      <c r="F516" s="398"/>
      <c r="G516" s="177"/>
      <c r="H516" s="43"/>
      <c r="I516" s="50"/>
      <c r="J516" s="50"/>
      <c r="K516" s="189"/>
      <c r="L516" s="189"/>
      <c r="M516" s="189"/>
      <c r="N516" s="189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  <c r="EY516" s="37"/>
      <c r="EZ516" s="37"/>
      <c r="FA516" s="37"/>
      <c r="FB516" s="37"/>
      <c r="FC516" s="37"/>
      <c r="FD516" s="37"/>
      <c r="FE516" s="37"/>
      <c r="FF516" s="37"/>
      <c r="FG516" s="37"/>
      <c r="FH516" s="37"/>
      <c r="FI516" s="37"/>
      <c r="FJ516" s="37"/>
      <c r="FK516" s="37"/>
      <c r="FL516" s="37"/>
      <c r="FM516" s="37"/>
      <c r="FN516" s="37"/>
      <c r="FO516" s="37"/>
      <c r="FP516" s="37"/>
      <c r="FQ516" s="37"/>
      <c r="FR516" s="37"/>
      <c r="FS516" s="37"/>
      <c r="FT516" s="37"/>
      <c r="FU516" s="37"/>
      <c r="FV516" s="37"/>
      <c r="FW516" s="37"/>
      <c r="FX516" s="37"/>
      <c r="FY516" s="37"/>
      <c r="FZ516" s="37"/>
      <c r="GA516" s="37"/>
      <c r="GB516" s="37"/>
      <c r="GC516" s="37"/>
      <c r="GD516" s="37"/>
      <c r="GE516" s="37"/>
      <c r="GF516" s="37"/>
      <c r="GG516" s="37"/>
      <c r="GH516" s="37"/>
      <c r="GI516" s="37"/>
    </row>
    <row r="517" spans="1:191">
      <c r="A517" s="398"/>
      <c r="B517" s="398"/>
      <c r="C517" s="398"/>
      <c r="D517" s="398"/>
      <c r="E517" s="398"/>
      <c r="F517" s="398"/>
      <c r="G517" s="177"/>
      <c r="H517" s="43"/>
      <c r="I517" s="50"/>
      <c r="J517" s="50"/>
      <c r="K517" s="189"/>
      <c r="L517" s="189"/>
      <c r="M517" s="189"/>
      <c r="N517" s="189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  <c r="EY517" s="37"/>
      <c r="EZ517" s="37"/>
      <c r="FA517" s="37"/>
      <c r="FB517" s="37"/>
      <c r="FC517" s="37"/>
      <c r="FD517" s="37"/>
      <c r="FE517" s="37"/>
      <c r="FF517" s="37"/>
      <c r="FG517" s="37"/>
      <c r="FH517" s="37"/>
      <c r="FI517" s="37"/>
      <c r="FJ517" s="37"/>
      <c r="FK517" s="37"/>
      <c r="FL517" s="37"/>
      <c r="FM517" s="37"/>
      <c r="FN517" s="37"/>
      <c r="FO517" s="37"/>
      <c r="FP517" s="37"/>
      <c r="FQ517" s="37"/>
      <c r="FR517" s="37"/>
      <c r="FS517" s="37"/>
      <c r="FT517" s="37"/>
      <c r="FU517" s="37"/>
      <c r="FV517" s="37"/>
      <c r="FW517" s="37"/>
      <c r="FX517" s="37"/>
      <c r="FY517" s="37"/>
      <c r="FZ517" s="37"/>
      <c r="GA517" s="37"/>
      <c r="GB517" s="37"/>
      <c r="GC517" s="37"/>
      <c r="GD517" s="37"/>
      <c r="GE517" s="37"/>
      <c r="GF517" s="37"/>
      <c r="GG517" s="37"/>
      <c r="GH517" s="37"/>
      <c r="GI517" s="37"/>
    </row>
    <row r="518" spans="1:191">
      <c r="A518" s="398"/>
      <c r="B518" s="398"/>
      <c r="C518" s="398"/>
      <c r="D518" s="398"/>
      <c r="E518" s="398"/>
      <c r="F518" s="398"/>
      <c r="G518" s="177"/>
      <c r="H518" s="43"/>
      <c r="I518" s="50"/>
      <c r="J518" s="50"/>
      <c r="K518" s="189"/>
      <c r="L518" s="189"/>
      <c r="M518" s="189"/>
      <c r="N518" s="189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  <c r="EY518" s="37"/>
      <c r="EZ518" s="37"/>
      <c r="FA518" s="37"/>
      <c r="FB518" s="37"/>
      <c r="FC518" s="37"/>
      <c r="FD518" s="37"/>
      <c r="FE518" s="37"/>
      <c r="FF518" s="37"/>
      <c r="FG518" s="37"/>
      <c r="FH518" s="37"/>
      <c r="FI518" s="37"/>
      <c r="FJ518" s="37"/>
      <c r="FK518" s="37"/>
      <c r="FL518" s="37"/>
      <c r="FM518" s="37"/>
      <c r="FN518" s="37"/>
      <c r="FO518" s="37"/>
      <c r="FP518" s="37"/>
      <c r="FQ518" s="37"/>
      <c r="FR518" s="37"/>
      <c r="FS518" s="37"/>
      <c r="FT518" s="37"/>
      <c r="FU518" s="37"/>
      <c r="FV518" s="37"/>
      <c r="FW518" s="37"/>
      <c r="FX518" s="37"/>
      <c r="FY518" s="37"/>
      <c r="FZ518" s="37"/>
      <c r="GA518" s="37"/>
      <c r="GB518" s="37"/>
      <c r="GC518" s="37"/>
      <c r="GD518" s="37"/>
      <c r="GE518" s="37"/>
      <c r="GF518" s="37"/>
      <c r="GG518" s="37"/>
      <c r="GH518" s="37"/>
      <c r="GI518" s="37"/>
    </row>
    <row r="519" spans="1:191">
      <c r="A519" s="398"/>
      <c r="B519" s="398"/>
      <c r="C519" s="398"/>
      <c r="D519" s="398"/>
      <c r="E519" s="398"/>
      <c r="F519" s="398"/>
      <c r="G519" s="177"/>
      <c r="H519" s="43"/>
      <c r="I519" s="50"/>
      <c r="J519" s="50"/>
      <c r="K519" s="189"/>
      <c r="L519" s="189"/>
      <c r="M519" s="189"/>
      <c r="N519" s="189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  <c r="EY519" s="37"/>
      <c r="EZ519" s="37"/>
      <c r="FA519" s="37"/>
      <c r="FB519" s="37"/>
      <c r="FC519" s="37"/>
      <c r="FD519" s="37"/>
      <c r="FE519" s="37"/>
      <c r="FF519" s="37"/>
      <c r="FG519" s="37"/>
      <c r="FH519" s="37"/>
      <c r="FI519" s="37"/>
      <c r="FJ519" s="37"/>
      <c r="FK519" s="37"/>
      <c r="FL519" s="37"/>
      <c r="FM519" s="37"/>
      <c r="FN519" s="37"/>
      <c r="FO519" s="37"/>
      <c r="FP519" s="37"/>
      <c r="FQ519" s="37"/>
      <c r="FR519" s="37"/>
      <c r="FS519" s="37"/>
      <c r="FT519" s="37"/>
      <c r="FU519" s="37"/>
      <c r="FV519" s="37"/>
      <c r="FW519" s="37"/>
      <c r="FX519" s="37"/>
      <c r="FY519" s="37"/>
      <c r="FZ519" s="37"/>
      <c r="GA519" s="37"/>
      <c r="GB519" s="37"/>
      <c r="GC519" s="37"/>
      <c r="GD519" s="37"/>
      <c r="GE519" s="37"/>
      <c r="GF519" s="37"/>
      <c r="GG519" s="37"/>
      <c r="GH519" s="37"/>
      <c r="GI519" s="37"/>
    </row>
    <row r="520" spans="1:191">
      <c r="A520" s="398"/>
      <c r="B520" s="398"/>
      <c r="C520" s="398"/>
      <c r="D520" s="398"/>
      <c r="E520" s="398"/>
      <c r="F520" s="398"/>
      <c r="G520" s="177"/>
      <c r="H520" s="43"/>
      <c r="I520" s="50"/>
      <c r="J520" s="50"/>
      <c r="K520" s="189"/>
      <c r="L520" s="189"/>
      <c r="M520" s="189"/>
      <c r="N520" s="189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  <c r="EY520" s="37"/>
      <c r="EZ520" s="37"/>
      <c r="FA520" s="37"/>
      <c r="FB520" s="37"/>
      <c r="FC520" s="37"/>
      <c r="FD520" s="37"/>
      <c r="FE520" s="37"/>
      <c r="FF520" s="37"/>
      <c r="FG520" s="37"/>
      <c r="FH520" s="37"/>
      <c r="FI520" s="37"/>
      <c r="FJ520" s="37"/>
      <c r="FK520" s="37"/>
      <c r="FL520" s="37"/>
      <c r="FM520" s="37"/>
      <c r="FN520" s="37"/>
      <c r="FO520" s="37"/>
      <c r="FP520" s="37"/>
      <c r="FQ520" s="37"/>
      <c r="FR520" s="37"/>
      <c r="FS520" s="37"/>
      <c r="FT520" s="37"/>
      <c r="FU520" s="37"/>
      <c r="FV520" s="37"/>
      <c r="FW520" s="37"/>
      <c r="FX520" s="37"/>
      <c r="FY520" s="37"/>
      <c r="FZ520" s="37"/>
      <c r="GA520" s="37"/>
      <c r="GB520" s="37"/>
      <c r="GC520" s="37"/>
      <c r="GD520" s="37"/>
      <c r="GE520" s="37"/>
      <c r="GF520" s="37"/>
      <c r="GG520" s="37"/>
      <c r="GH520" s="37"/>
      <c r="GI520" s="37"/>
    </row>
    <row r="521" spans="1:191">
      <c r="A521" s="398"/>
      <c r="B521" s="398"/>
      <c r="C521" s="398"/>
      <c r="D521" s="398"/>
      <c r="E521" s="398"/>
      <c r="F521" s="398"/>
      <c r="G521" s="177"/>
      <c r="H521" s="43"/>
      <c r="I521" s="50"/>
      <c r="J521" s="50"/>
      <c r="K521" s="189"/>
      <c r="L521" s="189"/>
      <c r="M521" s="189"/>
      <c r="N521" s="189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  <c r="FT521" s="37"/>
      <c r="FU521" s="37"/>
      <c r="FV521" s="37"/>
      <c r="FW521" s="37"/>
      <c r="FX521" s="37"/>
      <c r="FY521" s="37"/>
      <c r="FZ521" s="37"/>
      <c r="GA521" s="37"/>
      <c r="GB521" s="37"/>
      <c r="GC521" s="37"/>
      <c r="GD521" s="37"/>
      <c r="GE521" s="37"/>
      <c r="GF521" s="37"/>
      <c r="GG521" s="37"/>
      <c r="GH521" s="37"/>
      <c r="GI521" s="37"/>
    </row>
    <row r="522" spans="1:191">
      <c r="A522" s="398"/>
      <c r="B522" s="398"/>
      <c r="C522" s="398"/>
      <c r="D522" s="398"/>
      <c r="E522" s="398"/>
      <c r="F522" s="398"/>
      <c r="G522" s="177"/>
      <c r="H522" s="43"/>
      <c r="I522" s="50"/>
      <c r="J522" s="50"/>
      <c r="K522" s="189"/>
      <c r="L522" s="189"/>
      <c r="M522" s="189"/>
      <c r="N522" s="189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  <c r="EY522" s="37"/>
      <c r="EZ522" s="37"/>
      <c r="FA522" s="37"/>
      <c r="FB522" s="37"/>
      <c r="FC522" s="37"/>
      <c r="FD522" s="37"/>
      <c r="FE522" s="37"/>
      <c r="FF522" s="37"/>
      <c r="FG522" s="37"/>
      <c r="FH522" s="37"/>
      <c r="FI522" s="37"/>
      <c r="FJ522" s="37"/>
      <c r="FK522" s="37"/>
      <c r="FL522" s="37"/>
      <c r="FM522" s="37"/>
      <c r="FN522" s="37"/>
      <c r="FO522" s="37"/>
      <c r="FP522" s="37"/>
      <c r="FQ522" s="37"/>
      <c r="FR522" s="37"/>
      <c r="FS522" s="37"/>
      <c r="FT522" s="37"/>
      <c r="FU522" s="37"/>
      <c r="FV522" s="37"/>
      <c r="FW522" s="37"/>
      <c r="FX522" s="37"/>
      <c r="FY522" s="37"/>
      <c r="FZ522" s="37"/>
      <c r="GA522" s="37"/>
      <c r="GB522" s="37"/>
      <c r="GC522" s="37"/>
      <c r="GD522" s="37"/>
      <c r="GE522" s="37"/>
      <c r="GF522" s="37"/>
      <c r="GG522" s="37"/>
      <c r="GH522" s="37"/>
      <c r="GI522" s="37"/>
    </row>
    <row r="523" spans="1:191">
      <c r="A523" s="398"/>
      <c r="B523" s="398"/>
      <c r="C523" s="398"/>
      <c r="D523" s="398"/>
      <c r="E523" s="398"/>
      <c r="F523" s="398"/>
      <c r="G523" s="177"/>
      <c r="H523" s="43"/>
      <c r="I523" s="50"/>
      <c r="J523" s="50"/>
      <c r="K523" s="189"/>
      <c r="L523" s="189"/>
      <c r="M523" s="189"/>
      <c r="N523" s="189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  <c r="EY523" s="37"/>
      <c r="EZ523" s="37"/>
      <c r="FA523" s="37"/>
      <c r="FB523" s="37"/>
      <c r="FC523" s="37"/>
      <c r="FD523" s="37"/>
      <c r="FE523" s="37"/>
      <c r="FF523" s="37"/>
      <c r="FG523" s="37"/>
      <c r="FH523" s="37"/>
      <c r="FI523" s="37"/>
      <c r="FJ523" s="37"/>
      <c r="FK523" s="37"/>
      <c r="FL523" s="37"/>
      <c r="FM523" s="37"/>
      <c r="FN523" s="37"/>
      <c r="FO523" s="37"/>
      <c r="FP523" s="37"/>
      <c r="FQ523" s="37"/>
      <c r="FR523" s="37"/>
      <c r="FS523" s="37"/>
      <c r="FT523" s="37"/>
      <c r="FU523" s="37"/>
      <c r="FV523" s="37"/>
      <c r="FW523" s="37"/>
      <c r="FX523" s="37"/>
      <c r="FY523" s="37"/>
      <c r="FZ523" s="37"/>
      <c r="GA523" s="37"/>
      <c r="GB523" s="37"/>
      <c r="GC523" s="37"/>
      <c r="GD523" s="37"/>
      <c r="GE523" s="37"/>
      <c r="GF523" s="37"/>
      <c r="GG523" s="37"/>
      <c r="GH523" s="37"/>
      <c r="GI523" s="37"/>
    </row>
    <row r="524" spans="1:191">
      <c r="A524" s="398"/>
      <c r="B524" s="398"/>
      <c r="C524" s="398"/>
      <c r="D524" s="398"/>
      <c r="E524" s="398"/>
      <c r="F524" s="398"/>
      <c r="G524" s="177"/>
      <c r="H524" s="43"/>
      <c r="I524" s="50"/>
      <c r="J524" s="50"/>
      <c r="K524" s="189"/>
      <c r="L524" s="189"/>
      <c r="M524" s="189"/>
      <c r="N524" s="189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  <c r="EY524" s="37"/>
      <c r="EZ524" s="37"/>
      <c r="FA524" s="37"/>
      <c r="FB524" s="37"/>
      <c r="FC524" s="37"/>
      <c r="FD524" s="37"/>
      <c r="FE524" s="37"/>
      <c r="FF524" s="37"/>
      <c r="FG524" s="37"/>
      <c r="FH524" s="37"/>
      <c r="FI524" s="37"/>
      <c r="FJ524" s="37"/>
      <c r="FK524" s="37"/>
      <c r="FL524" s="37"/>
      <c r="FM524" s="37"/>
      <c r="FN524" s="37"/>
      <c r="FO524" s="37"/>
      <c r="FP524" s="37"/>
      <c r="FQ524" s="37"/>
      <c r="FR524" s="37"/>
      <c r="FS524" s="37"/>
      <c r="FT524" s="37"/>
      <c r="FU524" s="37"/>
      <c r="FV524" s="37"/>
      <c r="FW524" s="37"/>
      <c r="FX524" s="37"/>
      <c r="FY524" s="37"/>
      <c r="FZ524" s="37"/>
      <c r="GA524" s="37"/>
      <c r="GB524" s="37"/>
      <c r="GC524" s="37"/>
      <c r="GD524" s="37"/>
      <c r="GE524" s="37"/>
      <c r="GF524" s="37"/>
      <c r="GG524" s="37"/>
      <c r="GH524" s="37"/>
      <c r="GI524" s="37"/>
    </row>
    <row r="525" spans="1:191">
      <c r="A525" s="398"/>
      <c r="B525" s="398"/>
      <c r="C525" s="398"/>
      <c r="D525" s="398"/>
      <c r="E525" s="398"/>
      <c r="F525" s="398"/>
      <c r="G525" s="177"/>
      <c r="H525" s="43"/>
      <c r="I525" s="50"/>
      <c r="J525" s="50"/>
      <c r="K525" s="189"/>
      <c r="L525" s="189"/>
      <c r="M525" s="189"/>
      <c r="N525" s="189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  <c r="EY525" s="37"/>
      <c r="EZ525" s="37"/>
      <c r="FA525" s="37"/>
      <c r="FB525" s="37"/>
      <c r="FC525" s="37"/>
      <c r="FD525" s="37"/>
      <c r="FE525" s="37"/>
      <c r="FF525" s="37"/>
      <c r="FG525" s="37"/>
      <c r="FH525" s="37"/>
      <c r="FI525" s="37"/>
      <c r="FJ525" s="37"/>
      <c r="FK525" s="37"/>
      <c r="FL525" s="37"/>
      <c r="FM525" s="37"/>
      <c r="FN525" s="37"/>
      <c r="FO525" s="37"/>
      <c r="FP525" s="37"/>
      <c r="FQ525" s="37"/>
      <c r="FR525" s="37"/>
      <c r="FS525" s="37"/>
      <c r="FT525" s="37"/>
      <c r="FU525" s="37"/>
      <c r="FV525" s="37"/>
      <c r="FW525" s="37"/>
      <c r="FX525" s="37"/>
      <c r="FY525" s="37"/>
      <c r="FZ525" s="37"/>
      <c r="GA525" s="37"/>
      <c r="GB525" s="37"/>
      <c r="GC525" s="37"/>
      <c r="GD525" s="37"/>
      <c r="GE525" s="37"/>
      <c r="GF525" s="37"/>
      <c r="GG525" s="37"/>
      <c r="GH525" s="37"/>
      <c r="GI525" s="37"/>
    </row>
    <row r="526" spans="1:191">
      <c r="A526" s="398"/>
      <c r="B526" s="398"/>
      <c r="C526" s="398"/>
      <c r="D526" s="398"/>
      <c r="E526" s="398"/>
      <c r="F526" s="398"/>
      <c r="G526" s="177"/>
      <c r="H526" s="43"/>
      <c r="I526" s="50"/>
      <c r="J526" s="50"/>
      <c r="K526" s="189"/>
      <c r="L526" s="189"/>
      <c r="M526" s="189"/>
      <c r="N526" s="189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  <c r="EY526" s="37"/>
      <c r="EZ526" s="37"/>
      <c r="FA526" s="37"/>
      <c r="FB526" s="37"/>
      <c r="FC526" s="37"/>
      <c r="FD526" s="37"/>
      <c r="FE526" s="37"/>
      <c r="FF526" s="37"/>
      <c r="FG526" s="37"/>
      <c r="FH526" s="37"/>
      <c r="FI526" s="37"/>
      <c r="FJ526" s="37"/>
      <c r="FK526" s="37"/>
      <c r="FL526" s="37"/>
      <c r="FM526" s="37"/>
      <c r="FN526" s="37"/>
      <c r="FO526" s="37"/>
      <c r="FP526" s="37"/>
      <c r="FQ526" s="37"/>
      <c r="FR526" s="37"/>
      <c r="FS526" s="37"/>
      <c r="FT526" s="37"/>
      <c r="FU526" s="37"/>
      <c r="FV526" s="37"/>
      <c r="FW526" s="37"/>
      <c r="FX526" s="37"/>
      <c r="FY526" s="37"/>
      <c r="FZ526" s="37"/>
      <c r="GA526" s="37"/>
      <c r="GB526" s="37"/>
      <c r="GC526" s="37"/>
      <c r="GD526" s="37"/>
      <c r="GE526" s="37"/>
      <c r="GF526" s="37"/>
      <c r="GG526" s="37"/>
      <c r="GH526" s="37"/>
      <c r="GI526" s="37"/>
    </row>
    <row r="527" spans="1:191">
      <c r="A527" s="398"/>
      <c r="B527" s="398"/>
      <c r="C527" s="398"/>
      <c r="D527" s="398"/>
      <c r="E527" s="398"/>
      <c r="F527" s="398"/>
      <c r="G527" s="177"/>
      <c r="H527" s="43"/>
      <c r="I527" s="50"/>
      <c r="J527" s="50"/>
      <c r="K527" s="189"/>
      <c r="L527" s="189"/>
      <c r="M527" s="189"/>
      <c r="N527" s="189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  <c r="FE527" s="37"/>
      <c r="FF527" s="37"/>
      <c r="FG527" s="37"/>
      <c r="FH527" s="37"/>
      <c r="FI527" s="37"/>
      <c r="FJ527" s="37"/>
      <c r="FK527" s="37"/>
      <c r="FL527" s="37"/>
      <c r="FM527" s="37"/>
      <c r="FN527" s="37"/>
      <c r="FO527" s="37"/>
      <c r="FP527" s="37"/>
      <c r="FQ527" s="37"/>
      <c r="FR527" s="37"/>
      <c r="FS527" s="37"/>
      <c r="FT527" s="37"/>
      <c r="FU527" s="37"/>
      <c r="FV527" s="37"/>
      <c r="FW527" s="37"/>
      <c r="FX527" s="37"/>
      <c r="FY527" s="37"/>
      <c r="FZ527" s="37"/>
      <c r="GA527" s="37"/>
      <c r="GB527" s="37"/>
      <c r="GC527" s="37"/>
      <c r="GD527" s="37"/>
      <c r="GE527" s="37"/>
      <c r="GF527" s="37"/>
      <c r="GG527" s="37"/>
      <c r="GH527" s="37"/>
      <c r="GI527" s="37"/>
    </row>
    <row r="528" spans="1:191">
      <c r="A528" s="398"/>
      <c r="B528" s="398"/>
      <c r="C528" s="398"/>
      <c r="D528" s="398"/>
      <c r="E528" s="398"/>
      <c r="F528" s="398"/>
      <c r="G528" s="177"/>
      <c r="H528" s="43"/>
      <c r="I528" s="50"/>
      <c r="J528" s="50"/>
      <c r="K528" s="189"/>
      <c r="L528" s="189"/>
      <c r="M528" s="189"/>
      <c r="N528" s="189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  <c r="FE528" s="37"/>
      <c r="FF528" s="37"/>
      <c r="FG528" s="37"/>
      <c r="FH528" s="37"/>
      <c r="FI528" s="37"/>
      <c r="FJ528" s="37"/>
      <c r="FK528" s="37"/>
      <c r="FL528" s="37"/>
      <c r="FM528" s="37"/>
      <c r="FN528" s="37"/>
      <c r="FO528" s="37"/>
      <c r="FP528" s="37"/>
      <c r="FQ528" s="37"/>
      <c r="FR528" s="37"/>
      <c r="FS528" s="37"/>
      <c r="FT528" s="37"/>
      <c r="FU528" s="37"/>
      <c r="FV528" s="37"/>
      <c r="FW528" s="37"/>
      <c r="FX528" s="37"/>
      <c r="FY528" s="37"/>
      <c r="FZ528" s="37"/>
      <c r="GA528" s="37"/>
      <c r="GB528" s="37"/>
      <c r="GC528" s="37"/>
      <c r="GD528" s="37"/>
      <c r="GE528" s="37"/>
      <c r="GF528" s="37"/>
      <c r="GG528" s="37"/>
      <c r="GH528" s="37"/>
      <c r="GI528" s="37"/>
    </row>
    <row r="529" spans="1:191">
      <c r="A529" s="398"/>
      <c r="B529" s="398"/>
      <c r="C529" s="398"/>
      <c r="D529" s="398"/>
      <c r="E529" s="398"/>
      <c r="F529" s="398"/>
      <c r="G529" s="177"/>
      <c r="H529" s="43"/>
      <c r="I529" s="50"/>
      <c r="J529" s="50"/>
      <c r="K529" s="189"/>
      <c r="L529" s="189"/>
      <c r="M529" s="189"/>
      <c r="N529" s="189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  <c r="FE529" s="37"/>
      <c r="FF529" s="37"/>
      <c r="FG529" s="37"/>
      <c r="FH529" s="37"/>
      <c r="FI529" s="37"/>
      <c r="FJ529" s="37"/>
      <c r="FK529" s="37"/>
      <c r="FL529" s="37"/>
      <c r="FM529" s="37"/>
      <c r="FN529" s="37"/>
      <c r="FO529" s="37"/>
      <c r="FP529" s="37"/>
      <c r="FQ529" s="37"/>
      <c r="FR529" s="37"/>
      <c r="FS529" s="37"/>
      <c r="FT529" s="37"/>
      <c r="FU529" s="37"/>
      <c r="FV529" s="37"/>
      <c r="FW529" s="37"/>
      <c r="FX529" s="37"/>
      <c r="FY529" s="37"/>
      <c r="FZ529" s="37"/>
      <c r="GA529" s="37"/>
      <c r="GB529" s="37"/>
      <c r="GC529" s="37"/>
      <c r="GD529" s="37"/>
      <c r="GE529" s="37"/>
      <c r="GF529" s="37"/>
      <c r="GG529" s="37"/>
      <c r="GH529" s="37"/>
      <c r="GI529" s="37"/>
    </row>
    <row r="530" spans="1:191">
      <c r="A530" s="398"/>
      <c r="B530" s="398"/>
      <c r="C530" s="398"/>
      <c r="D530" s="398"/>
      <c r="E530" s="398"/>
      <c r="F530" s="398"/>
      <c r="G530" s="177"/>
      <c r="H530" s="43"/>
      <c r="I530" s="50"/>
      <c r="J530" s="50"/>
      <c r="K530" s="189"/>
      <c r="L530" s="189"/>
      <c r="M530" s="189"/>
      <c r="N530" s="189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  <c r="FE530" s="37"/>
      <c r="FF530" s="37"/>
      <c r="FG530" s="37"/>
      <c r="FH530" s="37"/>
      <c r="FI530" s="37"/>
      <c r="FJ530" s="37"/>
      <c r="FK530" s="37"/>
      <c r="FL530" s="37"/>
      <c r="FM530" s="37"/>
      <c r="FN530" s="37"/>
      <c r="FO530" s="37"/>
      <c r="FP530" s="37"/>
      <c r="FQ530" s="37"/>
      <c r="FR530" s="37"/>
      <c r="FS530" s="37"/>
      <c r="FT530" s="37"/>
      <c r="FU530" s="37"/>
      <c r="FV530" s="37"/>
      <c r="FW530" s="37"/>
      <c r="FX530" s="37"/>
      <c r="FY530" s="37"/>
      <c r="FZ530" s="37"/>
      <c r="GA530" s="37"/>
      <c r="GB530" s="37"/>
      <c r="GC530" s="37"/>
      <c r="GD530" s="37"/>
      <c r="GE530" s="37"/>
      <c r="GF530" s="37"/>
      <c r="GG530" s="37"/>
      <c r="GH530" s="37"/>
      <c r="GI530" s="37"/>
    </row>
    <row r="531" spans="1:191">
      <c r="A531" s="398"/>
      <c r="B531" s="398"/>
      <c r="C531" s="398"/>
      <c r="D531" s="398"/>
      <c r="E531" s="398"/>
      <c r="F531" s="398"/>
      <c r="G531" s="177"/>
      <c r="H531" s="43"/>
      <c r="I531" s="50"/>
      <c r="J531" s="50"/>
      <c r="K531" s="189"/>
      <c r="L531" s="189"/>
      <c r="M531" s="189"/>
      <c r="N531" s="189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  <c r="FE531" s="37"/>
      <c r="FF531" s="37"/>
      <c r="FG531" s="37"/>
      <c r="FH531" s="37"/>
      <c r="FI531" s="37"/>
      <c r="FJ531" s="37"/>
      <c r="FK531" s="37"/>
      <c r="FL531" s="37"/>
      <c r="FM531" s="37"/>
      <c r="FN531" s="37"/>
      <c r="FO531" s="37"/>
      <c r="FP531" s="37"/>
      <c r="FQ531" s="37"/>
      <c r="FR531" s="37"/>
      <c r="FS531" s="37"/>
      <c r="FT531" s="37"/>
      <c r="FU531" s="37"/>
      <c r="FV531" s="37"/>
      <c r="FW531" s="37"/>
      <c r="FX531" s="37"/>
      <c r="FY531" s="37"/>
      <c r="FZ531" s="37"/>
      <c r="GA531" s="37"/>
      <c r="GB531" s="37"/>
      <c r="GC531" s="37"/>
      <c r="GD531" s="37"/>
      <c r="GE531" s="37"/>
      <c r="GF531" s="37"/>
      <c r="GG531" s="37"/>
      <c r="GH531" s="37"/>
      <c r="GI531" s="37"/>
    </row>
    <row r="532" spans="1:191">
      <c r="A532" s="398"/>
      <c r="B532" s="398"/>
      <c r="C532" s="398"/>
      <c r="D532" s="398"/>
      <c r="E532" s="398"/>
      <c r="F532" s="398"/>
      <c r="G532" s="177"/>
      <c r="H532" s="43"/>
      <c r="I532" s="50"/>
      <c r="J532" s="50"/>
      <c r="K532" s="189"/>
      <c r="L532" s="189"/>
      <c r="M532" s="189"/>
      <c r="N532" s="189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  <c r="EY532" s="37"/>
      <c r="EZ532" s="37"/>
      <c r="FA532" s="37"/>
      <c r="FB532" s="37"/>
      <c r="FC532" s="37"/>
      <c r="FD532" s="37"/>
      <c r="FE532" s="37"/>
      <c r="FF532" s="37"/>
      <c r="FG532" s="37"/>
      <c r="FH532" s="37"/>
      <c r="FI532" s="37"/>
      <c r="FJ532" s="37"/>
      <c r="FK532" s="37"/>
      <c r="FL532" s="37"/>
      <c r="FM532" s="37"/>
      <c r="FN532" s="37"/>
      <c r="FO532" s="37"/>
      <c r="FP532" s="37"/>
      <c r="FQ532" s="37"/>
      <c r="FR532" s="37"/>
      <c r="FS532" s="37"/>
      <c r="FT532" s="37"/>
      <c r="FU532" s="37"/>
      <c r="FV532" s="37"/>
      <c r="FW532" s="37"/>
      <c r="FX532" s="37"/>
      <c r="FY532" s="37"/>
      <c r="FZ532" s="37"/>
      <c r="GA532" s="37"/>
      <c r="GB532" s="37"/>
      <c r="GC532" s="37"/>
      <c r="GD532" s="37"/>
      <c r="GE532" s="37"/>
      <c r="GF532" s="37"/>
      <c r="GG532" s="37"/>
      <c r="GH532" s="37"/>
      <c r="GI532" s="37"/>
    </row>
    <row r="533" spans="1:191">
      <c r="A533" s="398"/>
      <c r="B533" s="398"/>
      <c r="C533" s="398"/>
      <c r="D533" s="398"/>
      <c r="E533" s="398"/>
      <c r="F533" s="398"/>
      <c r="G533" s="177"/>
      <c r="H533" s="43"/>
      <c r="I533" s="50"/>
      <c r="J533" s="50"/>
      <c r="K533" s="189"/>
      <c r="L533" s="189"/>
      <c r="M533" s="189"/>
      <c r="N533" s="189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  <c r="FE533" s="37"/>
      <c r="FF533" s="37"/>
      <c r="FG533" s="37"/>
      <c r="FH533" s="37"/>
      <c r="FI533" s="37"/>
      <c r="FJ533" s="37"/>
      <c r="FK533" s="37"/>
      <c r="FL533" s="37"/>
      <c r="FM533" s="37"/>
      <c r="FN533" s="37"/>
      <c r="FO533" s="37"/>
      <c r="FP533" s="37"/>
      <c r="FQ533" s="37"/>
      <c r="FR533" s="37"/>
      <c r="FS533" s="37"/>
      <c r="FT533" s="37"/>
      <c r="FU533" s="37"/>
      <c r="FV533" s="37"/>
      <c r="FW533" s="37"/>
      <c r="FX533" s="37"/>
      <c r="FY533" s="37"/>
      <c r="FZ533" s="37"/>
      <c r="GA533" s="37"/>
      <c r="GB533" s="37"/>
      <c r="GC533" s="37"/>
      <c r="GD533" s="37"/>
      <c r="GE533" s="37"/>
      <c r="GF533" s="37"/>
      <c r="GG533" s="37"/>
      <c r="GH533" s="37"/>
      <c r="GI533" s="37"/>
    </row>
    <row r="534" spans="1:191">
      <c r="A534" s="398"/>
      <c r="B534" s="398"/>
      <c r="C534" s="398"/>
      <c r="D534" s="398"/>
      <c r="E534" s="398"/>
      <c r="F534" s="398"/>
      <c r="G534" s="177"/>
      <c r="H534" s="43"/>
      <c r="I534" s="50"/>
      <c r="J534" s="50"/>
      <c r="K534" s="189"/>
      <c r="L534" s="189"/>
      <c r="M534" s="189"/>
      <c r="N534" s="189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  <c r="FE534" s="37"/>
      <c r="FF534" s="37"/>
      <c r="FG534" s="37"/>
      <c r="FH534" s="37"/>
      <c r="FI534" s="37"/>
      <c r="FJ534" s="37"/>
      <c r="FK534" s="37"/>
      <c r="FL534" s="37"/>
      <c r="FM534" s="37"/>
      <c r="FN534" s="37"/>
      <c r="FO534" s="37"/>
      <c r="FP534" s="37"/>
      <c r="FQ534" s="37"/>
      <c r="FR534" s="37"/>
      <c r="FS534" s="37"/>
      <c r="FT534" s="37"/>
      <c r="FU534" s="37"/>
      <c r="FV534" s="37"/>
      <c r="FW534" s="37"/>
      <c r="FX534" s="37"/>
      <c r="FY534" s="37"/>
      <c r="FZ534" s="37"/>
      <c r="GA534" s="37"/>
      <c r="GB534" s="37"/>
      <c r="GC534" s="37"/>
      <c r="GD534" s="37"/>
      <c r="GE534" s="37"/>
      <c r="GF534" s="37"/>
      <c r="GG534" s="37"/>
      <c r="GH534" s="37"/>
      <c r="GI534" s="37"/>
    </row>
    <row r="535" spans="1:191">
      <c r="A535" s="398"/>
      <c r="B535" s="398"/>
      <c r="C535" s="398"/>
      <c r="D535" s="398"/>
      <c r="E535" s="398"/>
      <c r="F535" s="398"/>
      <c r="G535" s="177"/>
      <c r="H535" s="43"/>
      <c r="I535" s="50"/>
      <c r="J535" s="50"/>
      <c r="K535" s="189"/>
      <c r="L535" s="189"/>
      <c r="M535" s="189"/>
      <c r="N535" s="189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  <c r="FE535" s="37"/>
      <c r="FF535" s="37"/>
      <c r="FG535" s="37"/>
      <c r="FH535" s="37"/>
      <c r="FI535" s="37"/>
      <c r="FJ535" s="37"/>
      <c r="FK535" s="37"/>
      <c r="FL535" s="37"/>
      <c r="FM535" s="37"/>
      <c r="FN535" s="37"/>
      <c r="FO535" s="37"/>
      <c r="FP535" s="37"/>
      <c r="FQ535" s="37"/>
      <c r="FR535" s="37"/>
      <c r="FS535" s="37"/>
      <c r="FT535" s="37"/>
      <c r="FU535" s="37"/>
      <c r="FV535" s="37"/>
      <c r="FW535" s="37"/>
      <c r="FX535" s="37"/>
      <c r="FY535" s="37"/>
      <c r="FZ535" s="37"/>
      <c r="GA535" s="37"/>
      <c r="GB535" s="37"/>
      <c r="GC535" s="37"/>
      <c r="GD535" s="37"/>
      <c r="GE535" s="37"/>
      <c r="GF535" s="37"/>
      <c r="GG535" s="37"/>
      <c r="GH535" s="37"/>
      <c r="GI535" s="37"/>
    </row>
    <row r="536" spans="1:191">
      <c r="A536" s="398"/>
      <c r="B536" s="398"/>
      <c r="C536" s="398"/>
      <c r="D536" s="398"/>
      <c r="E536" s="398"/>
      <c r="F536" s="398"/>
      <c r="G536" s="177"/>
      <c r="H536" s="43"/>
      <c r="I536" s="50"/>
      <c r="J536" s="50"/>
      <c r="K536" s="189"/>
      <c r="L536" s="189"/>
      <c r="M536" s="189"/>
      <c r="N536" s="189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  <c r="FE536" s="37"/>
      <c r="FF536" s="37"/>
      <c r="FG536" s="37"/>
      <c r="FH536" s="37"/>
      <c r="FI536" s="37"/>
      <c r="FJ536" s="37"/>
      <c r="FK536" s="37"/>
      <c r="FL536" s="37"/>
      <c r="FM536" s="37"/>
      <c r="FN536" s="37"/>
      <c r="FO536" s="37"/>
      <c r="FP536" s="37"/>
      <c r="FQ536" s="37"/>
      <c r="FR536" s="37"/>
      <c r="FS536" s="37"/>
      <c r="FT536" s="37"/>
      <c r="FU536" s="37"/>
      <c r="FV536" s="37"/>
      <c r="FW536" s="37"/>
      <c r="FX536" s="37"/>
      <c r="FY536" s="37"/>
      <c r="FZ536" s="37"/>
      <c r="GA536" s="37"/>
      <c r="GB536" s="37"/>
      <c r="GC536" s="37"/>
      <c r="GD536" s="37"/>
      <c r="GE536" s="37"/>
      <c r="GF536" s="37"/>
      <c r="GG536" s="37"/>
      <c r="GH536" s="37"/>
      <c r="GI536" s="37"/>
    </row>
    <row r="537" spans="1:191">
      <c r="A537" s="398"/>
      <c r="B537" s="398"/>
      <c r="C537" s="398"/>
      <c r="D537" s="398"/>
      <c r="E537" s="398"/>
      <c r="F537" s="398"/>
      <c r="G537" s="177"/>
      <c r="H537" s="43"/>
      <c r="I537" s="50"/>
      <c r="J537" s="50"/>
      <c r="K537" s="189"/>
      <c r="L537" s="189"/>
      <c r="M537" s="189"/>
      <c r="N537" s="189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  <c r="EY537" s="37"/>
      <c r="EZ537" s="37"/>
      <c r="FA537" s="37"/>
      <c r="FB537" s="37"/>
      <c r="FC537" s="37"/>
      <c r="FD537" s="37"/>
      <c r="FE537" s="37"/>
      <c r="FF537" s="37"/>
      <c r="FG537" s="37"/>
      <c r="FH537" s="37"/>
      <c r="FI537" s="37"/>
      <c r="FJ537" s="37"/>
      <c r="FK537" s="37"/>
      <c r="FL537" s="37"/>
      <c r="FM537" s="37"/>
      <c r="FN537" s="37"/>
      <c r="FO537" s="37"/>
      <c r="FP537" s="37"/>
      <c r="FQ537" s="37"/>
      <c r="FR537" s="37"/>
      <c r="FS537" s="37"/>
      <c r="FT537" s="37"/>
      <c r="FU537" s="37"/>
      <c r="FV537" s="37"/>
      <c r="FW537" s="37"/>
      <c r="FX537" s="37"/>
      <c r="FY537" s="37"/>
      <c r="FZ537" s="37"/>
      <c r="GA537" s="37"/>
      <c r="GB537" s="37"/>
      <c r="GC537" s="37"/>
      <c r="GD537" s="37"/>
      <c r="GE537" s="37"/>
      <c r="GF537" s="37"/>
      <c r="GG537" s="37"/>
      <c r="GH537" s="37"/>
      <c r="GI537" s="37"/>
    </row>
    <row r="538" spans="1:191">
      <c r="A538" s="398"/>
      <c r="B538" s="398"/>
      <c r="C538" s="398"/>
      <c r="D538" s="398"/>
      <c r="E538" s="398"/>
      <c r="F538" s="398"/>
      <c r="G538" s="177"/>
      <c r="H538" s="43"/>
      <c r="I538" s="50"/>
      <c r="J538" s="50"/>
      <c r="K538" s="189"/>
      <c r="L538" s="189"/>
      <c r="M538" s="189"/>
      <c r="N538" s="189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7"/>
      <c r="DF538" s="37"/>
      <c r="DG538" s="37"/>
      <c r="DH538" s="37"/>
      <c r="DI538" s="37"/>
      <c r="DJ538" s="37"/>
      <c r="DK538" s="37"/>
      <c r="DL538" s="37"/>
      <c r="DM538" s="37"/>
      <c r="DN538" s="37"/>
      <c r="DO538" s="37"/>
      <c r="DP538" s="37"/>
      <c r="DQ538" s="37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37"/>
      <c r="EC538" s="37"/>
      <c r="ED538" s="37"/>
      <c r="EE538" s="37"/>
      <c r="EF538" s="37"/>
      <c r="EG538" s="37"/>
      <c r="EH538" s="37"/>
      <c r="EI538" s="37"/>
      <c r="EJ538" s="37"/>
      <c r="EK538" s="37"/>
      <c r="EL538" s="37"/>
      <c r="EM538" s="37"/>
      <c r="EN538" s="37"/>
      <c r="EO538" s="37"/>
      <c r="EP538" s="37"/>
      <c r="EQ538" s="37"/>
      <c r="ER538" s="37"/>
      <c r="ES538" s="37"/>
      <c r="ET538" s="37"/>
      <c r="EU538" s="37"/>
      <c r="EV538" s="37"/>
      <c r="EW538" s="37"/>
      <c r="EX538" s="37"/>
      <c r="EY538" s="37"/>
      <c r="EZ538" s="37"/>
      <c r="FA538" s="37"/>
      <c r="FB538" s="37"/>
      <c r="FC538" s="37"/>
      <c r="FD538" s="37"/>
      <c r="FE538" s="37"/>
      <c r="FF538" s="37"/>
      <c r="FG538" s="37"/>
      <c r="FH538" s="37"/>
      <c r="FI538" s="37"/>
      <c r="FJ538" s="37"/>
      <c r="FK538" s="37"/>
      <c r="FL538" s="37"/>
      <c r="FM538" s="37"/>
      <c r="FN538" s="37"/>
      <c r="FO538" s="37"/>
      <c r="FP538" s="37"/>
      <c r="FQ538" s="37"/>
      <c r="FR538" s="37"/>
      <c r="FS538" s="37"/>
      <c r="FT538" s="37"/>
      <c r="FU538" s="37"/>
      <c r="FV538" s="37"/>
      <c r="FW538" s="37"/>
      <c r="FX538" s="37"/>
      <c r="FY538" s="37"/>
      <c r="FZ538" s="37"/>
      <c r="GA538" s="37"/>
      <c r="GB538" s="37"/>
      <c r="GC538" s="37"/>
      <c r="GD538" s="37"/>
      <c r="GE538" s="37"/>
      <c r="GF538" s="37"/>
      <c r="GG538" s="37"/>
      <c r="GH538" s="37"/>
      <c r="GI538" s="37"/>
    </row>
    <row r="539" spans="1:191">
      <c r="A539" s="398"/>
      <c r="B539" s="398"/>
      <c r="C539" s="398"/>
      <c r="D539" s="398"/>
      <c r="E539" s="398"/>
      <c r="F539" s="398"/>
      <c r="G539" s="177"/>
      <c r="H539" s="43"/>
      <c r="I539" s="50"/>
      <c r="J539" s="50"/>
      <c r="K539" s="189"/>
      <c r="L539" s="189"/>
      <c r="M539" s="189"/>
      <c r="N539" s="189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  <c r="EY539" s="37"/>
      <c r="EZ539" s="37"/>
      <c r="FA539" s="37"/>
      <c r="FB539" s="37"/>
      <c r="FC539" s="37"/>
      <c r="FD539" s="37"/>
      <c r="FE539" s="37"/>
      <c r="FF539" s="37"/>
      <c r="FG539" s="37"/>
      <c r="FH539" s="37"/>
      <c r="FI539" s="37"/>
      <c r="FJ539" s="37"/>
      <c r="FK539" s="37"/>
      <c r="FL539" s="37"/>
      <c r="FM539" s="37"/>
      <c r="FN539" s="37"/>
      <c r="FO539" s="37"/>
      <c r="FP539" s="37"/>
      <c r="FQ539" s="37"/>
      <c r="FR539" s="37"/>
      <c r="FS539" s="37"/>
      <c r="FT539" s="37"/>
      <c r="FU539" s="37"/>
      <c r="FV539" s="37"/>
      <c r="FW539" s="37"/>
      <c r="FX539" s="37"/>
      <c r="FY539" s="37"/>
      <c r="FZ539" s="37"/>
      <c r="GA539" s="37"/>
      <c r="GB539" s="37"/>
      <c r="GC539" s="37"/>
      <c r="GD539" s="37"/>
      <c r="GE539" s="37"/>
      <c r="GF539" s="37"/>
      <c r="GG539" s="37"/>
      <c r="GH539" s="37"/>
      <c r="GI539" s="37"/>
    </row>
    <row r="540" spans="1:191">
      <c r="A540" s="398"/>
      <c r="B540" s="398"/>
      <c r="C540" s="398"/>
      <c r="D540" s="398"/>
      <c r="E540" s="398"/>
      <c r="F540" s="398"/>
      <c r="G540" s="177"/>
      <c r="H540" s="43"/>
      <c r="I540" s="50"/>
      <c r="J540" s="50"/>
      <c r="K540" s="189"/>
      <c r="L540" s="189"/>
      <c r="M540" s="189"/>
      <c r="N540" s="189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  <c r="EY540" s="37"/>
      <c r="EZ540" s="37"/>
      <c r="FA540" s="37"/>
      <c r="FB540" s="37"/>
      <c r="FC540" s="37"/>
      <c r="FD540" s="37"/>
      <c r="FE540" s="37"/>
      <c r="FF540" s="37"/>
      <c r="FG540" s="37"/>
      <c r="FH540" s="37"/>
      <c r="FI540" s="37"/>
      <c r="FJ540" s="37"/>
      <c r="FK540" s="37"/>
      <c r="FL540" s="37"/>
      <c r="FM540" s="37"/>
      <c r="FN540" s="37"/>
      <c r="FO540" s="37"/>
      <c r="FP540" s="37"/>
      <c r="FQ540" s="37"/>
      <c r="FR540" s="37"/>
      <c r="FS540" s="37"/>
      <c r="FT540" s="37"/>
      <c r="FU540" s="37"/>
      <c r="FV540" s="37"/>
      <c r="FW540" s="37"/>
      <c r="FX540" s="37"/>
      <c r="FY540" s="37"/>
      <c r="FZ540" s="37"/>
      <c r="GA540" s="37"/>
      <c r="GB540" s="37"/>
      <c r="GC540" s="37"/>
      <c r="GD540" s="37"/>
      <c r="GE540" s="37"/>
      <c r="GF540" s="37"/>
      <c r="GG540" s="37"/>
      <c r="GH540" s="37"/>
      <c r="GI540" s="37"/>
    </row>
    <row r="541" spans="1:191">
      <c r="A541" s="398"/>
      <c r="B541" s="398"/>
      <c r="C541" s="398"/>
      <c r="D541" s="398"/>
      <c r="E541" s="398"/>
      <c r="F541" s="398"/>
      <c r="G541" s="177"/>
      <c r="H541" s="43"/>
      <c r="I541" s="50"/>
      <c r="J541" s="50"/>
      <c r="K541" s="189"/>
      <c r="L541" s="189"/>
      <c r="M541" s="189"/>
      <c r="N541" s="189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  <c r="EY541" s="37"/>
      <c r="EZ541" s="37"/>
      <c r="FA541" s="37"/>
      <c r="FB541" s="37"/>
      <c r="FC541" s="37"/>
      <c r="FD541" s="37"/>
      <c r="FE541" s="37"/>
      <c r="FF541" s="37"/>
      <c r="FG541" s="37"/>
      <c r="FH541" s="37"/>
      <c r="FI541" s="37"/>
      <c r="FJ541" s="37"/>
      <c r="FK541" s="37"/>
      <c r="FL541" s="37"/>
      <c r="FM541" s="37"/>
      <c r="FN541" s="37"/>
      <c r="FO541" s="37"/>
      <c r="FP541" s="37"/>
      <c r="FQ541" s="37"/>
      <c r="FR541" s="37"/>
      <c r="FS541" s="37"/>
      <c r="FT541" s="37"/>
      <c r="FU541" s="37"/>
      <c r="FV541" s="37"/>
      <c r="FW541" s="37"/>
      <c r="FX541" s="37"/>
      <c r="FY541" s="37"/>
      <c r="FZ541" s="37"/>
      <c r="GA541" s="37"/>
      <c r="GB541" s="37"/>
      <c r="GC541" s="37"/>
      <c r="GD541" s="37"/>
      <c r="GE541" s="37"/>
      <c r="GF541" s="37"/>
      <c r="GG541" s="37"/>
      <c r="GH541" s="37"/>
      <c r="GI541" s="37"/>
    </row>
    <row r="542" spans="1:191">
      <c r="A542" s="398"/>
      <c r="B542" s="398"/>
      <c r="C542" s="398"/>
      <c r="D542" s="398"/>
      <c r="E542" s="398"/>
      <c r="F542" s="398"/>
      <c r="G542" s="177"/>
      <c r="H542" s="43"/>
      <c r="I542" s="50"/>
      <c r="J542" s="50"/>
      <c r="K542" s="189"/>
      <c r="L542" s="189"/>
      <c r="M542" s="189"/>
      <c r="N542" s="189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  <c r="EY542" s="37"/>
      <c r="EZ542" s="37"/>
      <c r="FA542" s="37"/>
      <c r="FB542" s="37"/>
      <c r="FC542" s="37"/>
      <c r="FD542" s="37"/>
      <c r="FE542" s="37"/>
      <c r="FF542" s="37"/>
      <c r="FG542" s="37"/>
      <c r="FH542" s="37"/>
      <c r="FI542" s="37"/>
      <c r="FJ542" s="37"/>
      <c r="FK542" s="37"/>
      <c r="FL542" s="37"/>
      <c r="FM542" s="37"/>
      <c r="FN542" s="37"/>
      <c r="FO542" s="37"/>
      <c r="FP542" s="37"/>
      <c r="FQ542" s="37"/>
      <c r="FR542" s="37"/>
      <c r="FS542" s="37"/>
      <c r="FT542" s="37"/>
      <c r="FU542" s="37"/>
      <c r="FV542" s="37"/>
      <c r="FW542" s="37"/>
      <c r="FX542" s="37"/>
      <c r="FY542" s="37"/>
      <c r="FZ542" s="37"/>
      <c r="GA542" s="37"/>
      <c r="GB542" s="37"/>
      <c r="GC542" s="37"/>
      <c r="GD542" s="37"/>
      <c r="GE542" s="37"/>
      <c r="GF542" s="37"/>
      <c r="GG542" s="37"/>
      <c r="GH542" s="37"/>
      <c r="GI542" s="37"/>
    </row>
    <row r="543" spans="1:191">
      <c r="A543" s="398"/>
      <c r="B543" s="398"/>
      <c r="C543" s="398"/>
      <c r="D543" s="398"/>
      <c r="E543" s="398"/>
      <c r="F543" s="398"/>
      <c r="G543" s="177"/>
      <c r="H543" s="43"/>
      <c r="I543" s="50"/>
      <c r="J543" s="50"/>
      <c r="K543" s="189"/>
      <c r="L543" s="189"/>
      <c r="M543" s="189"/>
      <c r="N543" s="189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M543" s="37"/>
      <c r="DN543" s="37"/>
      <c r="DO543" s="37"/>
      <c r="DP543" s="37"/>
      <c r="DQ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  <c r="EW543" s="37"/>
      <c r="EX543" s="37"/>
      <c r="EY543" s="37"/>
      <c r="EZ543" s="37"/>
      <c r="FA543" s="37"/>
      <c r="FB543" s="37"/>
      <c r="FC543" s="37"/>
      <c r="FD543" s="37"/>
      <c r="FE543" s="37"/>
      <c r="FF543" s="37"/>
      <c r="FG543" s="37"/>
      <c r="FH543" s="37"/>
      <c r="FI543" s="37"/>
      <c r="FJ543" s="37"/>
      <c r="FK543" s="37"/>
      <c r="FL543" s="37"/>
      <c r="FM543" s="37"/>
      <c r="FN543" s="37"/>
      <c r="FO543" s="37"/>
      <c r="FP543" s="37"/>
      <c r="FQ543" s="37"/>
      <c r="FR543" s="37"/>
      <c r="FS543" s="37"/>
      <c r="FT543" s="37"/>
      <c r="FU543" s="37"/>
      <c r="FV543" s="37"/>
      <c r="FW543" s="37"/>
      <c r="FX543" s="37"/>
      <c r="FY543" s="37"/>
      <c r="FZ543" s="37"/>
      <c r="GA543" s="37"/>
      <c r="GB543" s="37"/>
      <c r="GC543" s="37"/>
      <c r="GD543" s="37"/>
      <c r="GE543" s="37"/>
      <c r="GF543" s="37"/>
      <c r="GG543" s="37"/>
      <c r="GH543" s="37"/>
      <c r="GI543" s="37"/>
    </row>
    <row r="544" spans="1:191">
      <c r="A544" s="398"/>
      <c r="B544" s="398"/>
      <c r="C544" s="398"/>
      <c r="D544" s="398"/>
      <c r="E544" s="398"/>
      <c r="F544" s="398"/>
      <c r="G544" s="177"/>
      <c r="H544" s="43"/>
      <c r="I544" s="50"/>
      <c r="J544" s="50"/>
      <c r="K544" s="189"/>
      <c r="L544" s="189"/>
      <c r="M544" s="189"/>
      <c r="N544" s="189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  <c r="EY544" s="37"/>
      <c r="EZ544" s="37"/>
      <c r="FA544" s="37"/>
      <c r="FB544" s="37"/>
      <c r="FC544" s="37"/>
      <c r="FD544" s="37"/>
      <c r="FE544" s="37"/>
      <c r="FF544" s="37"/>
      <c r="FG544" s="37"/>
      <c r="FH544" s="37"/>
      <c r="FI544" s="37"/>
      <c r="FJ544" s="37"/>
      <c r="FK544" s="37"/>
      <c r="FL544" s="37"/>
      <c r="FM544" s="37"/>
      <c r="FN544" s="37"/>
      <c r="FO544" s="37"/>
      <c r="FP544" s="37"/>
      <c r="FQ544" s="37"/>
      <c r="FR544" s="37"/>
      <c r="FS544" s="37"/>
      <c r="FT544" s="37"/>
      <c r="FU544" s="37"/>
      <c r="FV544" s="37"/>
      <c r="FW544" s="37"/>
      <c r="FX544" s="37"/>
      <c r="FY544" s="37"/>
      <c r="FZ544" s="37"/>
      <c r="GA544" s="37"/>
      <c r="GB544" s="37"/>
      <c r="GC544" s="37"/>
      <c r="GD544" s="37"/>
      <c r="GE544" s="37"/>
      <c r="GF544" s="37"/>
      <c r="GG544" s="37"/>
      <c r="GH544" s="37"/>
      <c r="GI544" s="37"/>
    </row>
    <row r="545" spans="1:191">
      <c r="A545" s="398"/>
      <c r="B545" s="398"/>
      <c r="C545" s="398"/>
      <c r="D545" s="398"/>
      <c r="E545" s="398"/>
      <c r="F545" s="398"/>
      <c r="G545" s="177"/>
      <c r="H545" s="43"/>
      <c r="I545" s="50"/>
      <c r="J545" s="50"/>
      <c r="K545" s="189"/>
      <c r="L545" s="189"/>
      <c r="M545" s="189"/>
      <c r="N545" s="189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  <c r="EY545" s="37"/>
      <c r="EZ545" s="37"/>
      <c r="FA545" s="37"/>
      <c r="FB545" s="37"/>
      <c r="FC545" s="37"/>
      <c r="FD545" s="37"/>
      <c r="FE545" s="37"/>
      <c r="FF545" s="37"/>
      <c r="FG545" s="37"/>
      <c r="FH545" s="37"/>
      <c r="FI545" s="37"/>
      <c r="FJ545" s="37"/>
      <c r="FK545" s="37"/>
      <c r="FL545" s="37"/>
      <c r="FM545" s="37"/>
      <c r="FN545" s="37"/>
      <c r="FO545" s="37"/>
      <c r="FP545" s="37"/>
      <c r="FQ545" s="37"/>
      <c r="FR545" s="37"/>
      <c r="FS545" s="37"/>
      <c r="FT545" s="37"/>
      <c r="FU545" s="37"/>
      <c r="FV545" s="37"/>
      <c r="FW545" s="37"/>
      <c r="FX545" s="37"/>
      <c r="FY545" s="37"/>
      <c r="FZ545" s="37"/>
      <c r="GA545" s="37"/>
      <c r="GB545" s="37"/>
      <c r="GC545" s="37"/>
      <c r="GD545" s="37"/>
      <c r="GE545" s="37"/>
      <c r="GF545" s="37"/>
      <c r="GG545" s="37"/>
      <c r="GH545" s="37"/>
      <c r="GI545" s="37"/>
    </row>
    <row r="546" spans="1:191">
      <c r="A546" s="398"/>
      <c r="B546" s="398"/>
      <c r="C546" s="398"/>
      <c r="D546" s="398"/>
      <c r="E546" s="398"/>
      <c r="F546" s="398"/>
      <c r="G546" s="177"/>
      <c r="H546" s="43"/>
      <c r="I546" s="50"/>
      <c r="J546" s="50"/>
      <c r="K546" s="189"/>
      <c r="L546" s="189"/>
      <c r="M546" s="189"/>
      <c r="N546" s="189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  <c r="FE546" s="37"/>
      <c r="FF546" s="37"/>
      <c r="FG546" s="37"/>
      <c r="FH546" s="37"/>
      <c r="FI546" s="37"/>
      <c r="FJ546" s="37"/>
      <c r="FK546" s="37"/>
      <c r="FL546" s="37"/>
      <c r="FM546" s="37"/>
      <c r="FN546" s="37"/>
      <c r="FO546" s="37"/>
      <c r="FP546" s="37"/>
      <c r="FQ546" s="37"/>
      <c r="FR546" s="37"/>
      <c r="FS546" s="37"/>
      <c r="FT546" s="37"/>
      <c r="FU546" s="37"/>
      <c r="FV546" s="37"/>
      <c r="FW546" s="37"/>
      <c r="FX546" s="37"/>
      <c r="FY546" s="37"/>
      <c r="FZ546" s="37"/>
      <c r="GA546" s="37"/>
      <c r="GB546" s="37"/>
      <c r="GC546" s="37"/>
      <c r="GD546" s="37"/>
      <c r="GE546" s="37"/>
      <c r="GF546" s="37"/>
      <c r="GG546" s="37"/>
      <c r="GH546" s="37"/>
      <c r="GI546" s="37"/>
    </row>
    <row r="547" spans="1:191">
      <c r="A547" s="398"/>
      <c r="B547" s="398"/>
      <c r="C547" s="398"/>
      <c r="D547" s="398"/>
      <c r="E547" s="398"/>
      <c r="F547" s="398"/>
      <c r="G547" s="177"/>
      <c r="H547" s="43"/>
      <c r="I547" s="50"/>
      <c r="J547" s="50"/>
      <c r="K547" s="189"/>
      <c r="L547" s="189"/>
      <c r="M547" s="189"/>
      <c r="N547" s="189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  <c r="EY547" s="37"/>
      <c r="EZ547" s="37"/>
      <c r="FA547" s="37"/>
      <c r="FB547" s="37"/>
      <c r="FC547" s="37"/>
      <c r="FD547" s="37"/>
      <c r="FE547" s="37"/>
      <c r="FF547" s="37"/>
      <c r="FG547" s="37"/>
      <c r="FH547" s="37"/>
      <c r="FI547" s="37"/>
      <c r="FJ547" s="37"/>
      <c r="FK547" s="37"/>
      <c r="FL547" s="37"/>
      <c r="FM547" s="37"/>
      <c r="FN547" s="37"/>
      <c r="FO547" s="37"/>
      <c r="FP547" s="37"/>
      <c r="FQ547" s="37"/>
      <c r="FR547" s="37"/>
      <c r="FS547" s="37"/>
      <c r="FT547" s="37"/>
      <c r="FU547" s="37"/>
      <c r="FV547" s="37"/>
      <c r="FW547" s="37"/>
      <c r="FX547" s="37"/>
      <c r="FY547" s="37"/>
      <c r="FZ547" s="37"/>
      <c r="GA547" s="37"/>
      <c r="GB547" s="37"/>
      <c r="GC547" s="37"/>
      <c r="GD547" s="37"/>
      <c r="GE547" s="37"/>
      <c r="GF547" s="37"/>
      <c r="GG547" s="37"/>
      <c r="GH547" s="37"/>
      <c r="GI547" s="37"/>
    </row>
    <row r="548" spans="1:191">
      <c r="A548" s="398"/>
      <c r="B548" s="398"/>
      <c r="C548" s="398"/>
      <c r="D548" s="398"/>
      <c r="E548" s="398"/>
      <c r="F548" s="398"/>
      <c r="G548" s="177"/>
      <c r="H548" s="43"/>
      <c r="I548" s="50"/>
      <c r="J548" s="50"/>
      <c r="K548" s="189"/>
      <c r="L548" s="189"/>
      <c r="M548" s="189"/>
      <c r="N548" s="189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  <c r="EY548" s="37"/>
      <c r="EZ548" s="37"/>
      <c r="FA548" s="37"/>
      <c r="FB548" s="37"/>
      <c r="FC548" s="37"/>
      <c r="FD548" s="37"/>
      <c r="FE548" s="37"/>
      <c r="FF548" s="37"/>
      <c r="FG548" s="37"/>
      <c r="FH548" s="37"/>
      <c r="FI548" s="37"/>
      <c r="FJ548" s="37"/>
      <c r="FK548" s="37"/>
      <c r="FL548" s="37"/>
      <c r="FM548" s="37"/>
      <c r="FN548" s="37"/>
      <c r="FO548" s="37"/>
      <c r="FP548" s="37"/>
      <c r="FQ548" s="37"/>
      <c r="FR548" s="37"/>
      <c r="FS548" s="37"/>
      <c r="FT548" s="37"/>
      <c r="FU548" s="37"/>
      <c r="FV548" s="37"/>
      <c r="FW548" s="37"/>
      <c r="FX548" s="37"/>
      <c r="FY548" s="37"/>
      <c r="FZ548" s="37"/>
      <c r="GA548" s="37"/>
      <c r="GB548" s="37"/>
      <c r="GC548" s="37"/>
      <c r="GD548" s="37"/>
      <c r="GE548" s="37"/>
      <c r="GF548" s="37"/>
      <c r="GG548" s="37"/>
      <c r="GH548" s="37"/>
      <c r="GI548" s="37"/>
    </row>
    <row r="549" spans="1:191">
      <c r="A549" s="398"/>
      <c r="B549" s="398"/>
      <c r="C549" s="398"/>
      <c r="D549" s="398"/>
      <c r="E549" s="398"/>
      <c r="F549" s="398"/>
      <c r="G549" s="177"/>
      <c r="H549" s="43"/>
      <c r="I549" s="50"/>
      <c r="J549" s="50"/>
      <c r="K549" s="189"/>
      <c r="L549" s="189"/>
      <c r="M549" s="189"/>
      <c r="N549" s="189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  <c r="EY549" s="37"/>
      <c r="EZ549" s="37"/>
      <c r="FA549" s="37"/>
      <c r="FB549" s="37"/>
      <c r="FC549" s="37"/>
      <c r="FD549" s="37"/>
      <c r="FE549" s="37"/>
      <c r="FF549" s="37"/>
      <c r="FG549" s="37"/>
      <c r="FH549" s="37"/>
      <c r="FI549" s="37"/>
      <c r="FJ549" s="37"/>
      <c r="FK549" s="37"/>
      <c r="FL549" s="37"/>
      <c r="FM549" s="37"/>
      <c r="FN549" s="37"/>
      <c r="FO549" s="37"/>
      <c r="FP549" s="37"/>
      <c r="FQ549" s="37"/>
      <c r="FR549" s="37"/>
      <c r="FS549" s="37"/>
      <c r="FT549" s="37"/>
      <c r="FU549" s="37"/>
      <c r="FV549" s="37"/>
      <c r="FW549" s="37"/>
      <c r="FX549" s="37"/>
      <c r="FY549" s="37"/>
      <c r="FZ549" s="37"/>
      <c r="GA549" s="37"/>
      <c r="GB549" s="37"/>
      <c r="GC549" s="37"/>
      <c r="GD549" s="37"/>
      <c r="GE549" s="37"/>
      <c r="GF549" s="37"/>
      <c r="GG549" s="37"/>
      <c r="GH549" s="37"/>
      <c r="GI549" s="37"/>
    </row>
    <row r="550" spans="1:191">
      <c r="A550" s="398"/>
      <c r="B550" s="398"/>
      <c r="C550" s="398"/>
      <c r="D550" s="398"/>
      <c r="E550" s="398"/>
      <c r="F550" s="398"/>
      <c r="G550" s="177"/>
      <c r="H550" s="43"/>
      <c r="I550" s="50"/>
      <c r="J550" s="50"/>
      <c r="K550" s="189"/>
      <c r="L550" s="189"/>
      <c r="M550" s="189"/>
      <c r="N550" s="189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  <c r="EY550" s="37"/>
      <c r="EZ550" s="37"/>
      <c r="FA550" s="37"/>
      <c r="FB550" s="37"/>
      <c r="FC550" s="37"/>
      <c r="FD550" s="37"/>
      <c r="FE550" s="37"/>
      <c r="FF550" s="37"/>
      <c r="FG550" s="37"/>
      <c r="FH550" s="37"/>
      <c r="FI550" s="37"/>
      <c r="FJ550" s="37"/>
      <c r="FK550" s="37"/>
      <c r="FL550" s="37"/>
      <c r="FM550" s="37"/>
      <c r="FN550" s="37"/>
      <c r="FO550" s="37"/>
      <c r="FP550" s="37"/>
      <c r="FQ550" s="37"/>
      <c r="FR550" s="37"/>
      <c r="FS550" s="37"/>
      <c r="FT550" s="37"/>
      <c r="FU550" s="37"/>
      <c r="FV550" s="37"/>
      <c r="FW550" s="37"/>
      <c r="FX550" s="37"/>
      <c r="FY550" s="37"/>
      <c r="FZ550" s="37"/>
      <c r="GA550" s="37"/>
      <c r="GB550" s="37"/>
      <c r="GC550" s="37"/>
      <c r="GD550" s="37"/>
      <c r="GE550" s="37"/>
      <c r="GF550" s="37"/>
      <c r="GG550" s="37"/>
      <c r="GH550" s="37"/>
      <c r="GI550" s="37"/>
    </row>
    <row r="551" spans="1:191">
      <c r="A551" s="398"/>
      <c r="B551" s="398"/>
      <c r="C551" s="398"/>
      <c r="D551" s="398"/>
      <c r="E551" s="398"/>
      <c r="F551" s="398"/>
      <c r="G551" s="177"/>
      <c r="H551" s="43"/>
      <c r="I551" s="50"/>
      <c r="J551" s="50"/>
      <c r="K551" s="189"/>
      <c r="L551" s="189"/>
      <c r="M551" s="189"/>
      <c r="N551" s="189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M551" s="37"/>
      <c r="DN551" s="37"/>
      <c r="DO551" s="37"/>
      <c r="DP551" s="37"/>
      <c r="DQ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  <c r="EW551" s="37"/>
      <c r="EX551" s="37"/>
      <c r="EY551" s="37"/>
      <c r="EZ551" s="37"/>
      <c r="FA551" s="37"/>
      <c r="FB551" s="37"/>
      <c r="FC551" s="37"/>
      <c r="FD551" s="37"/>
      <c r="FE551" s="37"/>
      <c r="FF551" s="37"/>
      <c r="FG551" s="37"/>
      <c r="FH551" s="37"/>
      <c r="FI551" s="37"/>
      <c r="FJ551" s="37"/>
      <c r="FK551" s="37"/>
      <c r="FL551" s="37"/>
      <c r="FM551" s="37"/>
      <c r="FN551" s="37"/>
      <c r="FO551" s="37"/>
      <c r="FP551" s="37"/>
      <c r="FQ551" s="37"/>
      <c r="FR551" s="37"/>
      <c r="FS551" s="37"/>
      <c r="FT551" s="37"/>
      <c r="FU551" s="37"/>
      <c r="FV551" s="37"/>
      <c r="FW551" s="37"/>
      <c r="FX551" s="37"/>
      <c r="FY551" s="37"/>
      <c r="FZ551" s="37"/>
      <c r="GA551" s="37"/>
      <c r="GB551" s="37"/>
      <c r="GC551" s="37"/>
      <c r="GD551" s="37"/>
      <c r="GE551" s="37"/>
      <c r="GF551" s="37"/>
      <c r="GG551" s="37"/>
      <c r="GH551" s="37"/>
      <c r="GI551" s="37"/>
    </row>
    <row r="552" spans="1:191">
      <c r="A552" s="398"/>
      <c r="B552" s="398"/>
      <c r="C552" s="398"/>
      <c r="D552" s="398"/>
      <c r="E552" s="398"/>
      <c r="F552" s="398"/>
      <c r="G552" s="177"/>
      <c r="H552" s="43"/>
      <c r="I552" s="50"/>
      <c r="J552" s="50"/>
      <c r="K552" s="189"/>
      <c r="L552" s="189"/>
      <c r="M552" s="189"/>
      <c r="N552" s="189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M552" s="37"/>
      <c r="DN552" s="37"/>
      <c r="DO552" s="37"/>
      <c r="DP552" s="37"/>
      <c r="DQ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  <c r="EW552" s="37"/>
      <c r="EX552" s="37"/>
      <c r="EY552" s="37"/>
      <c r="EZ552" s="37"/>
      <c r="FA552" s="37"/>
      <c r="FB552" s="37"/>
      <c r="FC552" s="37"/>
      <c r="FD552" s="37"/>
      <c r="FE552" s="37"/>
      <c r="FF552" s="37"/>
      <c r="FG552" s="37"/>
      <c r="FH552" s="37"/>
      <c r="FI552" s="37"/>
      <c r="FJ552" s="37"/>
      <c r="FK552" s="37"/>
      <c r="FL552" s="37"/>
      <c r="FM552" s="37"/>
      <c r="FN552" s="37"/>
      <c r="FO552" s="37"/>
      <c r="FP552" s="37"/>
      <c r="FQ552" s="37"/>
      <c r="FR552" s="37"/>
      <c r="FS552" s="37"/>
      <c r="FT552" s="37"/>
      <c r="FU552" s="37"/>
      <c r="FV552" s="37"/>
      <c r="FW552" s="37"/>
      <c r="FX552" s="37"/>
      <c r="FY552" s="37"/>
      <c r="FZ552" s="37"/>
      <c r="GA552" s="37"/>
      <c r="GB552" s="37"/>
      <c r="GC552" s="37"/>
      <c r="GD552" s="37"/>
      <c r="GE552" s="37"/>
      <c r="GF552" s="37"/>
      <c r="GG552" s="37"/>
      <c r="GH552" s="37"/>
      <c r="GI552" s="37"/>
    </row>
    <row r="553" spans="1:191">
      <c r="A553" s="398"/>
      <c r="B553" s="398"/>
      <c r="C553" s="398"/>
      <c r="D553" s="398"/>
      <c r="E553" s="398"/>
      <c r="F553" s="398"/>
      <c r="G553" s="177"/>
      <c r="H553" s="43"/>
      <c r="I553" s="50"/>
      <c r="J553" s="50"/>
      <c r="K553" s="189"/>
      <c r="L553" s="189"/>
      <c r="M553" s="189"/>
      <c r="N553" s="189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  <c r="EY553" s="37"/>
      <c r="EZ553" s="37"/>
      <c r="FA553" s="37"/>
      <c r="FB553" s="37"/>
      <c r="FC553" s="37"/>
      <c r="FD553" s="37"/>
      <c r="FE553" s="37"/>
      <c r="FF553" s="37"/>
      <c r="FG553" s="37"/>
      <c r="FH553" s="37"/>
      <c r="FI553" s="37"/>
      <c r="FJ553" s="37"/>
      <c r="FK553" s="37"/>
      <c r="FL553" s="37"/>
      <c r="FM553" s="37"/>
      <c r="FN553" s="37"/>
      <c r="FO553" s="37"/>
      <c r="FP553" s="37"/>
      <c r="FQ553" s="37"/>
      <c r="FR553" s="37"/>
      <c r="FS553" s="37"/>
      <c r="FT553" s="37"/>
      <c r="FU553" s="37"/>
      <c r="FV553" s="37"/>
      <c r="FW553" s="37"/>
      <c r="FX553" s="37"/>
      <c r="FY553" s="37"/>
      <c r="FZ553" s="37"/>
      <c r="GA553" s="37"/>
      <c r="GB553" s="37"/>
      <c r="GC553" s="37"/>
      <c r="GD553" s="37"/>
      <c r="GE553" s="37"/>
      <c r="GF553" s="37"/>
      <c r="GG553" s="37"/>
      <c r="GH553" s="37"/>
      <c r="GI553" s="37"/>
    </row>
    <row r="554" spans="1:191">
      <c r="A554" s="398"/>
      <c r="B554" s="398"/>
      <c r="C554" s="398"/>
      <c r="D554" s="398"/>
      <c r="E554" s="398"/>
      <c r="F554" s="398"/>
      <c r="G554" s="177"/>
      <c r="H554" s="43"/>
      <c r="I554" s="50"/>
      <c r="J554" s="50"/>
      <c r="K554" s="189"/>
      <c r="L554" s="189"/>
      <c r="M554" s="189"/>
      <c r="N554" s="189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  <c r="EY554" s="37"/>
      <c r="EZ554" s="37"/>
      <c r="FA554" s="37"/>
      <c r="FB554" s="37"/>
      <c r="FC554" s="37"/>
      <c r="FD554" s="37"/>
      <c r="FE554" s="37"/>
      <c r="FF554" s="37"/>
      <c r="FG554" s="37"/>
      <c r="FH554" s="37"/>
      <c r="FI554" s="37"/>
      <c r="FJ554" s="37"/>
      <c r="FK554" s="37"/>
      <c r="FL554" s="37"/>
      <c r="FM554" s="37"/>
      <c r="FN554" s="37"/>
      <c r="FO554" s="37"/>
      <c r="FP554" s="37"/>
      <c r="FQ554" s="37"/>
      <c r="FR554" s="37"/>
      <c r="FS554" s="37"/>
      <c r="FT554" s="37"/>
      <c r="FU554" s="37"/>
      <c r="FV554" s="37"/>
      <c r="FW554" s="37"/>
      <c r="FX554" s="37"/>
      <c r="FY554" s="37"/>
      <c r="FZ554" s="37"/>
      <c r="GA554" s="37"/>
      <c r="GB554" s="37"/>
      <c r="GC554" s="37"/>
      <c r="GD554" s="37"/>
      <c r="GE554" s="37"/>
      <c r="GF554" s="37"/>
      <c r="GG554" s="37"/>
      <c r="GH554" s="37"/>
      <c r="GI554" s="37"/>
    </row>
    <row r="555" spans="1:191">
      <c r="A555" s="398"/>
      <c r="B555" s="398"/>
      <c r="C555" s="398"/>
      <c r="D555" s="398"/>
      <c r="E555" s="398"/>
      <c r="F555" s="398"/>
      <c r="G555" s="177"/>
      <c r="H555" s="43"/>
      <c r="I555" s="50"/>
      <c r="J555" s="50"/>
      <c r="K555" s="189"/>
      <c r="L555" s="189"/>
      <c r="M555" s="189"/>
      <c r="N555" s="189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  <c r="EY555" s="37"/>
      <c r="EZ555" s="37"/>
      <c r="FA555" s="37"/>
      <c r="FB555" s="37"/>
      <c r="FC555" s="37"/>
      <c r="FD555" s="37"/>
      <c r="FE555" s="37"/>
      <c r="FF555" s="37"/>
      <c r="FG555" s="37"/>
      <c r="FH555" s="37"/>
      <c r="FI555" s="37"/>
      <c r="FJ555" s="37"/>
      <c r="FK555" s="37"/>
      <c r="FL555" s="37"/>
      <c r="FM555" s="37"/>
      <c r="FN555" s="37"/>
      <c r="FO555" s="37"/>
      <c r="FP555" s="37"/>
      <c r="FQ555" s="37"/>
      <c r="FR555" s="37"/>
      <c r="FS555" s="37"/>
      <c r="FT555" s="37"/>
      <c r="FU555" s="37"/>
      <c r="FV555" s="37"/>
      <c r="FW555" s="37"/>
      <c r="FX555" s="37"/>
      <c r="FY555" s="37"/>
      <c r="FZ555" s="37"/>
      <c r="GA555" s="37"/>
      <c r="GB555" s="37"/>
      <c r="GC555" s="37"/>
      <c r="GD555" s="37"/>
      <c r="GE555" s="37"/>
      <c r="GF555" s="37"/>
      <c r="GG555" s="37"/>
      <c r="GH555" s="37"/>
      <c r="GI555" s="37"/>
    </row>
    <row r="556" spans="1:191">
      <c r="A556" s="398"/>
      <c r="B556" s="398"/>
      <c r="C556" s="398"/>
      <c r="D556" s="398"/>
      <c r="E556" s="398"/>
      <c r="F556" s="398"/>
      <c r="G556" s="177"/>
      <c r="H556" s="43"/>
      <c r="I556" s="50"/>
      <c r="J556" s="50"/>
      <c r="K556" s="189"/>
      <c r="L556" s="189"/>
      <c r="M556" s="189"/>
      <c r="N556" s="189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  <c r="EY556" s="37"/>
      <c r="EZ556" s="37"/>
      <c r="FA556" s="37"/>
      <c r="FB556" s="37"/>
      <c r="FC556" s="37"/>
      <c r="FD556" s="37"/>
      <c r="FE556" s="37"/>
      <c r="FF556" s="37"/>
      <c r="FG556" s="37"/>
      <c r="FH556" s="37"/>
      <c r="FI556" s="37"/>
      <c r="FJ556" s="37"/>
      <c r="FK556" s="37"/>
      <c r="FL556" s="37"/>
      <c r="FM556" s="37"/>
      <c r="FN556" s="37"/>
      <c r="FO556" s="37"/>
      <c r="FP556" s="37"/>
      <c r="FQ556" s="37"/>
      <c r="FR556" s="37"/>
      <c r="FS556" s="37"/>
      <c r="FT556" s="37"/>
      <c r="FU556" s="37"/>
      <c r="FV556" s="37"/>
      <c r="FW556" s="37"/>
      <c r="FX556" s="37"/>
      <c r="FY556" s="37"/>
      <c r="FZ556" s="37"/>
      <c r="GA556" s="37"/>
      <c r="GB556" s="37"/>
      <c r="GC556" s="37"/>
      <c r="GD556" s="37"/>
      <c r="GE556" s="37"/>
      <c r="GF556" s="37"/>
      <c r="GG556" s="37"/>
      <c r="GH556" s="37"/>
      <c r="GI556" s="37"/>
    </row>
    <row r="557" spans="1:191">
      <c r="A557" s="398"/>
      <c r="B557" s="398"/>
      <c r="C557" s="398"/>
      <c r="D557" s="398"/>
      <c r="E557" s="398"/>
      <c r="F557" s="398"/>
      <c r="G557" s="177"/>
      <c r="H557" s="43"/>
      <c r="I557" s="50"/>
      <c r="J557" s="50"/>
      <c r="K557" s="189"/>
      <c r="L557" s="189"/>
      <c r="M557" s="189"/>
      <c r="N557" s="189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  <c r="FT557" s="37"/>
      <c r="FU557" s="37"/>
      <c r="FV557" s="37"/>
      <c r="FW557" s="37"/>
      <c r="FX557" s="37"/>
      <c r="FY557" s="37"/>
      <c r="FZ557" s="37"/>
      <c r="GA557" s="37"/>
      <c r="GB557" s="37"/>
      <c r="GC557" s="37"/>
      <c r="GD557" s="37"/>
      <c r="GE557" s="37"/>
      <c r="GF557" s="37"/>
      <c r="GG557" s="37"/>
      <c r="GH557" s="37"/>
      <c r="GI557" s="37"/>
    </row>
    <row r="558" spans="1:191">
      <c r="A558" s="398"/>
      <c r="B558" s="398"/>
      <c r="C558" s="398"/>
      <c r="D558" s="398"/>
      <c r="E558" s="398"/>
      <c r="F558" s="398"/>
      <c r="G558" s="177"/>
      <c r="H558" s="43"/>
      <c r="I558" s="50"/>
      <c r="J558" s="50"/>
      <c r="K558" s="189"/>
      <c r="L558" s="189"/>
      <c r="M558" s="189"/>
      <c r="N558" s="189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  <c r="EY558" s="37"/>
      <c r="EZ558" s="37"/>
      <c r="FA558" s="37"/>
      <c r="FB558" s="37"/>
      <c r="FC558" s="37"/>
      <c r="FD558" s="37"/>
      <c r="FE558" s="37"/>
      <c r="FF558" s="37"/>
      <c r="FG558" s="37"/>
      <c r="FH558" s="37"/>
      <c r="FI558" s="37"/>
      <c r="FJ558" s="37"/>
      <c r="FK558" s="37"/>
      <c r="FL558" s="37"/>
      <c r="FM558" s="37"/>
      <c r="FN558" s="37"/>
      <c r="FO558" s="37"/>
      <c r="FP558" s="37"/>
      <c r="FQ558" s="37"/>
      <c r="FR558" s="37"/>
      <c r="FS558" s="37"/>
      <c r="FT558" s="37"/>
      <c r="FU558" s="37"/>
      <c r="FV558" s="37"/>
      <c r="FW558" s="37"/>
      <c r="FX558" s="37"/>
      <c r="FY558" s="37"/>
      <c r="FZ558" s="37"/>
      <c r="GA558" s="37"/>
      <c r="GB558" s="37"/>
      <c r="GC558" s="37"/>
      <c r="GD558" s="37"/>
      <c r="GE558" s="37"/>
      <c r="GF558" s="37"/>
      <c r="GG558" s="37"/>
      <c r="GH558" s="37"/>
      <c r="GI558" s="37"/>
    </row>
    <row r="559" spans="1:191">
      <c r="A559" s="398"/>
      <c r="B559" s="398"/>
      <c r="C559" s="398"/>
      <c r="D559" s="398"/>
      <c r="E559" s="398"/>
      <c r="F559" s="398"/>
      <c r="G559" s="177"/>
      <c r="H559" s="43"/>
      <c r="I559" s="50"/>
      <c r="J559" s="50"/>
      <c r="K559" s="189"/>
      <c r="L559" s="189"/>
      <c r="M559" s="189"/>
      <c r="N559" s="189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  <c r="FT559" s="37"/>
      <c r="FU559" s="37"/>
      <c r="FV559" s="37"/>
      <c r="FW559" s="37"/>
      <c r="FX559" s="37"/>
      <c r="FY559" s="37"/>
      <c r="FZ559" s="37"/>
      <c r="GA559" s="37"/>
      <c r="GB559" s="37"/>
      <c r="GC559" s="37"/>
      <c r="GD559" s="37"/>
      <c r="GE559" s="37"/>
      <c r="GF559" s="37"/>
      <c r="GG559" s="37"/>
      <c r="GH559" s="37"/>
      <c r="GI559" s="37"/>
    </row>
    <row r="560" spans="1:191">
      <c r="A560" s="398"/>
      <c r="B560" s="398"/>
      <c r="C560" s="398"/>
      <c r="D560" s="398"/>
      <c r="E560" s="398"/>
      <c r="F560" s="398"/>
      <c r="G560" s="177"/>
      <c r="H560" s="43"/>
      <c r="I560" s="50"/>
      <c r="J560" s="50"/>
      <c r="K560" s="189"/>
      <c r="L560" s="189"/>
      <c r="M560" s="189"/>
      <c r="N560" s="189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  <c r="FK560" s="37"/>
      <c r="FL560" s="37"/>
      <c r="FM560" s="37"/>
      <c r="FN560" s="37"/>
      <c r="FO560" s="37"/>
      <c r="FP560" s="37"/>
      <c r="FQ560" s="37"/>
      <c r="FR560" s="37"/>
      <c r="FS560" s="37"/>
      <c r="FT560" s="37"/>
      <c r="FU560" s="37"/>
      <c r="FV560" s="37"/>
      <c r="FW560" s="37"/>
      <c r="FX560" s="37"/>
      <c r="FY560" s="37"/>
      <c r="FZ560" s="37"/>
      <c r="GA560" s="37"/>
      <c r="GB560" s="37"/>
      <c r="GC560" s="37"/>
      <c r="GD560" s="37"/>
      <c r="GE560" s="37"/>
      <c r="GF560" s="37"/>
      <c r="GG560" s="37"/>
      <c r="GH560" s="37"/>
      <c r="GI560" s="37"/>
    </row>
    <row r="561" spans="1:191">
      <c r="A561" s="398"/>
      <c r="B561" s="398"/>
      <c r="C561" s="398"/>
      <c r="D561" s="398"/>
      <c r="E561" s="398"/>
      <c r="F561" s="398"/>
      <c r="G561" s="177"/>
      <c r="H561" s="43"/>
      <c r="I561" s="50"/>
      <c r="J561" s="50"/>
      <c r="K561" s="189"/>
      <c r="L561" s="189"/>
      <c r="M561" s="189"/>
      <c r="N561" s="189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  <c r="EY561" s="37"/>
      <c r="EZ561" s="37"/>
      <c r="FA561" s="37"/>
      <c r="FB561" s="37"/>
      <c r="FC561" s="37"/>
      <c r="FD561" s="37"/>
      <c r="FE561" s="37"/>
      <c r="FF561" s="37"/>
      <c r="FG561" s="37"/>
      <c r="FH561" s="37"/>
      <c r="FI561" s="37"/>
      <c r="FJ561" s="37"/>
      <c r="FK561" s="37"/>
      <c r="FL561" s="37"/>
      <c r="FM561" s="37"/>
      <c r="FN561" s="37"/>
      <c r="FO561" s="37"/>
      <c r="FP561" s="37"/>
      <c r="FQ561" s="37"/>
      <c r="FR561" s="37"/>
      <c r="FS561" s="37"/>
      <c r="FT561" s="37"/>
      <c r="FU561" s="37"/>
      <c r="FV561" s="37"/>
      <c r="FW561" s="37"/>
      <c r="FX561" s="37"/>
      <c r="FY561" s="37"/>
      <c r="FZ561" s="37"/>
      <c r="GA561" s="37"/>
      <c r="GB561" s="37"/>
      <c r="GC561" s="37"/>
      <c r="GD561" s="37"/>
      <c r="GE561" s="37"/>
      <c r="GF561" s="37"/>
      <c r="GG561" s="37"/>
      <c r="GH561" s="37"/>
      <c r="GI561" s="37"/>
    </row>
    <row r="562" spans="1:191">
      <c r="A562" s="398"/>
      <c r="B562" s="398"/>
      <c r="C562" s="398"/>
      <c r="D562" s="398"/>
      <c r="E562" s="398"/>
      <c r="F562" s="398"/>
      <c r="G562" s="177"/>
      <c r="H562" s="43"/>
      <c r="I562" s="50"/>
      <c r="J562" s="50"/>
      <c r="K562" s="189"/>
      <c r="L562" s="189"/>
      <c r="M562" s="189"/>
      <c r="N562" s="189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M562" s="37"/>
      <c r="DN562" s="37"/>
      <c r="DO562" s="37"/>
      <c r="DP562" s="37"/>
      <c r="DQ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  <c r="EW562" s="37"/>
      <c r="EX562" s="37"/>
      <c r="EY562" s="37"/>
      <c r="EZ562" s="37"/>
      <c r="FA562" s="37"/>
      <c r="FB562" s="37"/>
      <c r="FC562" s="37"/>
      <c r="FD562" s="37"/>
      <c r="FE562" s="37"/>
      <c r="FF562" s="37"/>
      <c r="FG562" s="37"/>
      <c r="FH562" s="37"/>
      <c r="FI562" s="37"/>
      <c r="FJ562" s="37"/>
      <c r="FK562" s="37"/>
      <c r="FL562" s="37"/>
      <c r="FM562" s="37"/>
      <c r="FN562" s="37"/>
      <c r="FO562" s="37"/>
      <c r="FP562" s="37"/>
      <c r="FQ562" s="37"/>
      <c r="FR562" s="37"/>
      <c r="FS562" s="37"/>
      <c r="FT562" s="37"/>
      <c r="FU562" s="37"/>
      <c r="FV562" s="37"/>
      <c r="FW562" s="37"/>
      <c r="FX562" s="37"/>
      <c r="FY562" s="37"/>
      <c r="FZ562" s="37"/>
      <c r="GA562" s="37"/>
      <c r="GB562" s="37"/>
      <c r="GC562" s="37"/>
      <c r="GD562" s="37"/>
      <c r="GE562" s="37"/>
      <c r="GF562" s="37"/>
      <c r="GG562" s="37"/>
      <c r="GH562" s="37"/>
      <c r="GI562" s="37"/>
    </row>
    <row r="563" spans="1:191">
      <c r="A563" s="398"/>
      <c r="B563" s="398"/>
      <c r="C563" s="398"/>
      <c r="D563" s="398"/>
      <c r="E563" s="398"/>
      <c r="F563" s="398"/>
      <c r="G563" s="177"/>
      <c r="H563" s="43"/>
      <c r="I563" s="50"/>
      <c r="J563" s="50"/>
      <c r="K563" s="189"/>
      <c r="L563" s="189"/>
      <c r="M563" s="189"/>
      <c r="N563" s="189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  <c r="EY563" s="37"/>
      <c r="EZ563" s="37"/>
      <c r="FA563" s="37"/>
      <c r="FB563" s="37"/>
      <c r="FC563" s="37"/>
      <c r="FD563" s="37"/>
      <c r="FE563" s="37"/>
      <c r="FF563" s="37"/>
      <c r="FG563" s="37"/>
      <c r="FH563" s="37"/>
      <c r="FI563" s="37"/>
      <c r="FJ563" s="37"/>
      <c r="FK563" s="37"/>
      <c r="FL563" s="37"/>
      <c r="FM563" s="37"/>
      <c r="FN563" s="37"/>
      <c r="FO563" s="37"/>
      <c r="FP563" s="37"/>
      <c r="FQ563" s="37"/>
      <c r="FR563" s="37"/>
      <c r="FS563" s="37"/>
      <c r="FT563" s="37"/>
      <c r="FU563" s="37"/>
      <c r="FV563" s="37"/>
      <c r="FW563" s="37"/>
      <c r="FX563" s="37"/>
      <c r="FY563" s="37"/>
      <c r="FZ563" s="37"/>
      <c r="GA563" s="37"/>
      <c r="GB563" s="37"/>
      <c r="GC563" s="37"/>
      <c r="GD563" s="37"/>
      <c r="GE563" s="37"/>
      <c r="GF563" s="37"/>
      <c r="GG563" s="37"/>
      <c r="GH563" s="37"/>
      <c r="GI563" s="37"/>
    </row>
    <row r="564" spans="1:191">
      <c r="A564" s="398"/>
      <c r="B564" s="398"/>
      <c r="C564" s="398"/>
      <c r="D564" s="398"/>
      <c r="E564" s="398"/>
      <c r="F564" s="398"/>
      <c r="G564" s="177"/>
      <c r="H564" s="43"/>
      <c r="I564" s="50"/>
      <c r="J564" s="50"/>
      <c r="K564" s="189"/>
      <c r="L564" s="189"/>
      <c r="M564" s="189"/>
      <c r="N564" s="189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  <c r="EY564" s="37"/>
      <c r="EZ564" s="37"/>
      <c r="FA564" s="37"/>
      <c r="FB564" s="37"/>
      <c r="FC564" s="37"/>
      <c r="FD564" s="37"/>
      <c r="FE564" s="37"/>
      <c r="FF564" s="37"/>
      <c r="FG564" s="37"/>
      <c r="FH564" s="37"/>
      <c r="FI564" s="37"/>
      <c r="FJ564" s="37"/>
      <c r="FK564" s="37"/>
      <c r="FL564" s="37"/>
      <c r="FM564" s="37"/>
      <c r="FN564" s="37"/>
      <c r="FO564" s="37"/>
      <c r="FP564" s="37"/>
      <c r="FQ564" s="37"/>
      <c r="FR564" s="37"/>
      <c r="FS564" s="37"/>
      <c r="FT564" s="37"/>
      <c r="FU564" s="37"/>
      <c r="FV564" s="37"/>
      <c r="FW564" s="37"/>
      <c r="FX564" s="37"/>
      <c r="FY564" s="37"/>
      <c r="FZ564" s="37"/>
      <c r="GA564" s="37"/>
      <c r="GB564" s="37"/>
      <c r="GC564" s="37"/>
      <c r="GD564" s="37"/>
      <c r="GE564" s="37"/>
      <c r="GF564" s="37"/>
      <c r="GG564" s="37"/>
      <c r="GH564" s="37"/>
      <c r="GI564" s="37"/>
    </row>
    <row r="565" spans="1:191">
      <c r="A565" s="398"/>
      <c r="B565" s="398"/>
      <c r="C565" s="398"/>
      <c r="D565" s="398"/>
      <c r="E565" s="398"/>
      <c r="F565" s="398"/>
      <c r="G565" s="177"/>
      <c r="H565" s="43"/>
      <c r="I565" s="50"/>
      <c r="J565" s="50"/>
      <c r="K565" s="189"/>
      <c r="L565" s="189"/>
      <c r="M565" s="189"/>
      <c r="N565" s="189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  <c r="EY565" s="37"/>
      <c r="EZ565" s="37"/>
      <c r="FA565" s="37"/>
      <c r="FB565" s="37"/>
      <c r="FC565" s="37"/>
      <c r="FD565" s="37"/>
      <c r="FE565" s="37"/>
      <c r="FF565" s="37"/>
      <c r="FG565" s="37"/>
      <c r="FH565" s="37"/>
      <c r="FI565" s="37"/>
      <c r="FJ565" s="37"/>
      <c r="FK565" s="37"/>
      <c r="FL565" s="37"/>
      <c r="FM565" s="37"/>
      <c r="FN565" s="37"/>
      <c r="FO565" s="37"/>
      <c r="FP565" s="37"/>
      <c r="FQ565" s="37"/>
      <c r="FR565" s="37"/>
      <c r="FS565" s="37"/>
      <c r="FT565" s="37"/>
      <c r="FU565" s="37"/>
      <c r="FV565" s="37"/>
      <c r="FW565" s="37"/>
      <c r="FX565" s="37"/>
      <c r="FY565" s="37"/>
      <c r="FZ565" s="37"/>
      <c r="GA565" s="37"/>
      <c r="GB565" s="37"/>
      <c r="GC565" s="37"/>
      <c r="GD565" s="37"/>
      <c r="GE565" s="37"/>
      <c r="GF565" s="37"/>
      <c r="GG565" s="37"/>
      <c r="GH565" s="37"/>
      <c r="GI565" s="37"/>
    </row>
    <row r="566" spans="1:191">
      <c r="A566" s="398"/>
      <c r="B566" s="398"/>
      <c r="C566" s="398"/>
      <c r="D566" s="398"/>
      <c r="E566" s="398"/>
      <c r="F566" s="398"/>
      <c r="G566" s="177"/>
      <c r="H566" s="43"/>
      <c r="I566" s="50"/>
      <c r="J566" s="50"/>
      <c r="K566" s="189"/>
      <c r="L566" s="189"/>
      <c r="M566" s="189"/>
      <c r="N566" s="189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  <c r="EY566" s="37"/>
      <c r="EZ566" s="37"/>
      <c r="FA566" s="37"/>
      <c r="FB566" s="37"/>
      <c r="FC566" s="37"/>
      <c r="FD566" s="37"/>
      <c r="FE566" s="37"/>
      <c r="FF566" s="37"/>
      <c r="FG566" s="37"/>
      <c r="FH566" s="37"/>
      <c r="FI566" s="37"/>
      <c r="FJ566" s="37"/>
      <c r="FK566" s="37"/>
      <c r="FL566" s="37"/>
      <c r="FM566" s="37"/>
      <c r="FN566" s="37"/>
      <c r="FO566" s="37"/>
      <c r="FP566" s="37"/>
      <c r="FQ566" s="37"/>
      <c r="FR566" s="37"/>
      <c r="FS566" s="37"/>
      <c r="FT566" s="37"/>
      <c r="FU566" s="37"/>
      <c r="FV566" s="37"/>
      <c r="FW566" s="37"/>
      <c r="FX566" s="37"/>
      <c r="FY566" s="37"/>
      <c r="FZ566" s="37"/>
      <c r="GA566" s="37"/>
      <c r="GB566" s="37"/>
      <c r="GC566" s="37"/>
      <c r="GD566" s="37"/>
      <c r="GE566" s="37"/>
      <c r="GF566" s="37"/>
      <c r="GG566" s="37"/>
      <c r="GH566" s="37"/>
      <c r="GI566" s="37"/>
    </row>
    <row r="567" spans="1:191">
      <c r="A567" s="398"/>
      <c r="B567" s="398"/>
      <c r="C567" s="398"/>
      <c r="D567" s="398"/>
      <c r="E567" s="398"/>
      <c r="F567" s="398"/>
      <c r="G567" s="177"/>
      <c r="H567" s="43"/>
      <c r="I567" s="50"/>
      <c r="J567" s="50"/>
      <c r="K567" s="189"/>
      <c r="L567" s="189"/>
      <c r="M567" s="189"/>
      <c r="N567" s="189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  <c r="EY567" s="37"/>
      <c r="EZ567" s="37"/>
      <c r="FA567" s="37"/>
      <c r="FB567" s="37"/>
      <c r="FC567" s="37"/>
      <c r="FD567" s="37"/>
      <c r="FE567" s="37"/>
      <c r="FF567" s="37"/>
      <c r="FG567" s="37"/>
      <c r="FH567" s="37"/>
      <c r="FI567" s="37"/>
      <c r="FJ567" s="37"/>
      <c r="FK567" s="37"/>
      <c r="FL567" s="37"/>
      <c r="FM567" s="37"/>
      <c r="FN567" s="37"/>
      <c r="FO567" s="37"/>
      <c r="FP567" s="37"/>
      <c r="FQ567" s="37"/>
      <c r="FR567" s="37"/>
      <c r="FS567" s="37"/>
      <c r="FT567" s="37"/>
      <c r="FU567" s="37"/>
      <c r="FV567" s="37"/>
      <c r="FW567" s="37"/>
      <c r="FX567" s="37"/>
      <c r="FY567" s="37"/>
      <c r="FZ567" s="37"/>
      <c r="GA567" s="37"/>
      <c r="GB567" s="37"/>
      <c r="GC567" s="37"/>
      <c r="GD567" s="37"/>
      <c r="GE567" s="37"/>
      <c r="GF567" s="37"/>
      <c r="GG567" s="37"/>
      <c r="GH567" s="37"/>
      <c r="GI567" s="37"/>
    </row>
    <row r="568" spans="1:191">
      <c r="A568" s="398"/>
      <c r="B568" s="398"/>
      <c r="C568" s="398"/>
      <c r="D568" s="398"/>
      <c r="E568" s="398"/>
      <c r="F568" s="398"/>
      <c r="G568" s="177"/>
      <c r="H568" s="43"/>
      <c r="I568" s="50"/>
      <c r="J568" s="50"/>
      <c r="K568" s="189"/>
      <c r="L568" s="189"/>
      <c r="M568" s="189"/>
      <c r="N568" s="189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  <c r="EY568" s="37"/>
      <c r="EZ568" s="37"/>
      <c r="FA568" s="37"/>
      <c r="FB568" s="37"/>
      <c r="FC568" s="37"/>
      <c r="FD568" s="37"/>
      <c r="FE568" s="37"/>
      <c r="FF568" s="37"/>
      <c r="FG568" s="37"/>
      <c r="FH568" s="37"/>
      <c r="FI568" s="37"/>
      <c r="FJ568" s="37"/>
      <c r="FK568" s="37"/>
      <c r="FL568" s="37"/>
      <c r="FM568" s="37"/>
      <c r="FN568" s="37"/>
      <c r="FO568" s="37"/>
      <c r="FP568" s="37"/>
      <c r="FQ568" s="37"/>
      <c r="FR568" s="37"/>
      <c r="FS568" s="37"/>
      <c r="FT568" s="37"/>
      <c r="FU568" s="37"/>
      <c r="FV568" s="37"/>
      <c r="FW568" s="37"/>
      <c r="FX568" s="37"/>
      <c r="FY568" s="37"/>
      <c r="FZ568" s="37"/>
      <c r="GA568" s="37"/>
      <c r="GB568" s="37"/>
      <c r="GC568" s="37"/>
      <c r="GD568" s="37"/>
      <c r="GE568" s="37"/>
      <c r="GF568" s="37"/>
      <c r="GG568" s="37"/>
      <c r="GH568" s="37"/>
      <c r="GI568" s="37"/>
    </row>
    <row r="569" spans="1:191">
      <c r="A569" s="398"/>
      <c r="B569" s="398"/>
      <c r="C569" s="398"/>
      <c r="D569" s="398"/>
      <c r="E569" s="398"/>
      <c r="F569" s="398"/>
      <c r="G569" s="177"/>
      <c r="H569" s="43"/>
      <c r="I569" s="50"/>
      <c r="J569" s="50"/>
      <c r="K569" s="189"/>
      <c r="L569" s="189"/>
      <c r="M569" s="189"/>
      <c r="N569" s="189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  <c r="EY569" s="37"/>
      <c r="EZ569" s="37"/>
      <c r="FA569" s="37"/>
      <c r="FB569" s="37"/>
      <c r="FC569" s="37"/>
      <c r="FD569" s="37"/>
      <c r="FE569" s="37"/>
      <c r="FF569" s="37"/>
      <c r="FG569" s="37"/>
      <c r="FH569" s="37"/>
      <c r="FI569" s="37"/>
      <c r="FJ569" s="37"/>
      <c r="FK569" s="37"/>
      <c r="FL569" s="37"/>
      <c r="FM569" s="37"/>
      <c r="FN569" s="37"/>
      <c r="FO569" s="37"/>
      <c r="FP569" s="37"/>
      <c r="FQ569" s="37"/>
      <c r="FR569" s="37"/>
      <c r="FS569" s="37"/>
      <c r="FT569" s="37"/>
      <c r="FU569" s="37"/>
      <c r="FV569" s="37"/>
      <c r="FW569" s="37"/>
      <c r="FX569" s="37"/>
      <c r="FY569" s="37"/>
      <c r="FZ569" s="37"/>
      <c r="GA569" s="37"/>
      <c r="GB569" s="37"/>
      <c r="GC569" s="37"/>
      <c r="GD569" s="37"/>
      <c r="GE569" s="37"/>
      <c r="GF569" s="37"/>
      <c r="GG569" s="37"/>
      <c r="GH569" s="37"/>
      <c r="GI569" s="37"/>
    </row>
    <row r="570" spans="1:191">
      <c r="A570" s="398"/>
      <c r="B570" s="398"/>
      <c r="C570" s="398"/>
      <c r="D570" s="398"/>
      <c r="E570" s="398"/>
      <c r="F570" s="398"/>
      <c r="G570" s="177"/>
      <c r="H570" s="43"/>
      <c r="I570" s="50"/>
      <c r="J570" s="50"/>
      <c r="K570" s="189"/>
      <c r="L570" s="189"/>
      <c r="M570" s="189"/>
      <c r="N570" s="189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  <c r="FQ570" s="37"/>
      <c r="FR570" s="37"/>
      <c r="FS570" s="37"/>
      <c r="FT570" s="37"/>
      <c r="FU570" s="37"/>
      <c r="FV570" s="37"/>
      <c r="FW570" s="37"/>
      <c r="FX570" s="37"/>
      <c r="FY570" s="37"/>
      <c r="FZ570" s="37"/>
      <c r="GA570" s="37"/>
      <c r="GB570" s="37"/>
      <c r="GC570" s="37"/>
      <c r="GD570" s="37"/>
      <c r="GE570" s="37"/>
      <c r="GF570" s="37"/>
      <c r="GG570" s="37"/>
      <c r="GH570" s="37"/>
      <c r="GI570" s="37"/>
    </row>
    <row r="571" spans="1:191">
      <c r="A571" s="398"/>
      <c r="B571" s="398"/>
      <c r="C571" s="398"/>
      <c r="D571" s="398"/>
      <c r="E571" s="398"/>
      <c r="F571" s="398"/>
      <c r="G571" s="177"/>
      <c r="H571" s="43"/>
      <c r="I571" s="50"/>
      <c r="J571" s="50"/>
      <c r="K571" s="189"/>
      <c r="L571" s="189"/>
      <c r="M571" s="189"/>
      <c r="N571" s="189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  <c r="EY571" s="37"/>
      <c r="EZ571" s="37"/>
      <c r="FA571" s="37"/>
      <c r="FB571" s="37"/>
      <c r="FC571" s="37"/>
      <c r="FD571" s="37"/>
      <c r="FE571" s="37"/>
      <c r="FF571" s="37"/>
      <c r="FG571" s="37"/>
      <c r="FH571" s="37"/>
      <c r="FI571" s="37"/>
      <c r="FJ571" s="37"/>
      <c r="FK571" s="37"/>
      <c r="FL571" s="37"/>
      <c r="FM571" s="37"/>
      <c r="FN571" s="37"/>
      <c r="FO571" s="37"/>
      <c r="FP571" s="37"/>
      <c r="FQ571" s="37"/>
      <c r="FR571" s="37"/>
      <c r="FS571" s="37"/>
      <c r="FT571" s="37"/>
      <c r="FU571" s="37"/>
      <c r="FV571" s="37"/>
      <c r="FW571" s="37"/>
      <c r="FX571" s="37"/>
      <c r="FY571" s="37"/>
      <c r="FZ571" s="37"/>
      <c r="GA571" s="37"/>
      <c r="GB571" s="37"/>
      <c r="GC571" s="37"/>
      <c r="GD571" s="37"/>
      <c r="GE571" s="37"/>
      <c r="GF571" s="37"/>
      <c r="GG571" s="37"/>
      <c r="GH571" s="37"/>
      <c r="GI571" s="37"/>
    </row>
    <row r="572" spans="1:191">
      <c r="A572" s="398"/>
      <c r="B572" s="398"/>
      <c r="C572" s="398"/>
      <c r="D572" s="398"/>
      <c r="E572" s="398"/>
      <c r="F572" s="398"/>
      <c r="G572" s="177"/>
      <c r="H572" s="43"/>
      <c r="I572" s="50"/>
      <c r="J572" s="50"/>
      <c r="K572" s="189"/>
      <c r="L572" s="189"/>
      <c r="M572" s="189"/>
      <c r="N572" s="189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  <c r="EY572" s="37"/>
      <c r="EZ572" s="37"/>
      <c r="FA572" s="37"/>
      <c r="FB572" s="37"/>
      <c r="FC572" s="37"/>
      <c r="FD572" s="37"/>
      <c r="FE572" s="37"/>
      <c r="FF572" s="37"/>
      <c r="FG572" s="37"/>
      <c r="FH572" s="37"/>
      <c r="FI572" s="37"/>
      <c r="FJ572" s="37"/>
      <c r="FK572" s="37"/>
      <c r="FL572" s="37"/>
      <c r="FM572" s="37"/>
      <c r="FN572" s="37"/>
      <c r="FO572" s="37"/>
      <c r="FP572" s="37"/>
      <c r="FQ572" s="37"/>
      <c r="FR572" s="37"/>
      <c r="FS572" s="37"/>
      <c r="FT572" s="37"/>
      <c r="FU572" s="37"/>
      <c r="FV572" s="37"/>
      <c r="FW572" s="37"/>
      <c r="FX572" s="37"/>
      <c r="FY572" s="37"/>
      <c r="FZ572" s="37"/>
      <c r="GA572" s="37"/>
      <c r="GB572" s="37"/>
      <c r="GC572" s="37"/>
      <c r="GD572" s="37"/>
      <c r="GE572" s="37"/>
      <c r="GF572" s="37"/>
      <c r="GG572" s="37"/>
      <c r="GH572" s="37"/>
      <c r="GI572" s="37"/>
    </row>
    <row r="573" spans="1:191">
      <c r="A573" s="398"/>
      <c r="B573" s="398"/>
      <c r="C573" s="398"/>
      <c r="D573" s="398"/>
      <c r="E573" s="398"/>
      <c r="F573" s="398"/>
      <c r="G573" s="177"/>
      <c r="H573" s="43"/>
      <c r="I573" s="50"/>
      <c r="J573" s="50"/>
      <c r="K573" s="189"/>
      <c r="L573" s="189"/>
      <c r="M573" s="189"/>
      <c r="N573" s="189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  <c r="EY573" s="37"/>
      <c r="EZ573" s="37"/>
      <c r="FA573" s="37"/>
      <c r="FB573" s="37"/>
      <c r="FC573" s="37"/>
      <c r="FD573" s="37"/>
      <c r="FE573" s="37"/>
      <c r="FF573" s="37"/>
      <c r="FG573" s="37"/>
      <c r="FH573" s="37"/>
      <c r="FI573" s="37"/>
      <c r="FJ573" s="37"/>
      <c r="FK573" s="37"/>
      <c r="FL573" s="37"/>
      <c r="FM573" s="37"/>
      <c r="FN573" s="37"/>
      <c r="FO573" s="37"/>
      <c r="FP573" s="37"/>
      <c r="FQ573" s="37"/>
      <c r="FR573" s="37"/>
      <c r="FS573" s="37"/>
      <c r="FT573" s="37"/>
      <c r="FU573" s="37"/>
      <c r="FV573" s="37"/>
      <c r="FW573" s="37"/>
      <c r="FX573" s="37"/>
      <c r="FY573" s="37"/>
      <c r="FZ573" s="37"/>
      <c r="GA573" s="37"/>
      <c r="GB573" s="37"/>
      <c r="GC573" s="37"/>
      <c r="GD573" s="37"/>
      <c r="GE573" s="37"/>
      <c r="GF573" s="37"/>
      <c r="GG573" s="37"/>
      <c r="GH573" s="37"/>
      <c r="GI573" s="37"/>
    </row>
    <row r="574" spans="1:191">
      <c r="A574" s="398"/>
      <c r="B574" s="398"/>
      <c r="C574" s="398"/>
      <c r="D574" s="398"/>
      <c r="E574" s="398"/>
      <c r="F574" s="398"/>
      <c r="G574" s="177"/>
      <c r="H574" s="43"/>
      <c r="I574" s="50"/>
      <c r="J574" s="50"/>
      <c r="K574" s="189"/>
      <c r="L574" s="189"/>
      <c r="M574" s="189"/>
      <c r="N574" s="189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M574" s="37"/>
      <c r="DN574" s="37"/>
      <c r="DO574" s="37"/>
      <c r="DP574" s="37"/>
      <c r="DQ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  <c r="EW574" s="37"/>
      <c r="EX574" s="37"/>
      <c r="EY574" s="37"/>
      <c r="EZ574" s="37"/>
      <c r="FA574" s="37"/>
      <c r="FB574" s="37"/>
      <c r="FC574" s="37"/>
      <c r="FD574" s="37"/>
      <c r="FE574" s="37"/>
      <c r="FF574" s="37"/>
      <c r="FG574" s="37"/>
      <c r="FH574" s="37"/>
      <c r="FI574" s="37"/>
      <c r="FJ574" s="37"/>
      <c r="FK574" s="37"/>
      <c r="FL574" s="37"/>
      <c r="FM574" s="37"/>
      <c r="FN574" s="37"/>
      <c r="FO574" s="37"/>
      <c r="FP574" s="37"/>
      <c r="FQ574" s="37"/>
      <c r="FR574" s="37"/>
      <c r="FS574" s="37"/>
      <c r="FT574" s="37"/>
      <c r="FU574" s="37"/>
      <c r="FV574" s="37"/>
      <c r="FW574" s="37"/>
      <c r="FX574" s="37"/>
      <c r="FY574" s="37"/>
      <c r="FZ574" s="37"/>
      <c r="GA574" s="37"/>
      <c r="GB574" s="37"/>
      <c r="GC574" s="37"/>
      <c r="GD574" s="37"/>
      <c r="GE574" s="37"/>
      <c r="GF574" s="37"/>
      <c r="GG574" s="37"/>
      <c r="GH574" s="37"/>
      <c r="GI574" s="37"/>
    </row>
    <row r="575" spans="1:191">
      <c r="A575" s="398"/>
      <c r="B575" s="398"/>
      <c r="C575" s="398"/>
      <c r="D575" s="398"/>
      <c r="E575" s="398"/>
      <c r="F575" s="398"/>
      <c r="G575" s="177"/>
      <c r="H575" s="43"/>
      <c r="I575" s="50"/>
      <c r="J575" s="50"/>
      <c r="K575" s="189"/>
      <c r="L575" s="189"/>
      <c r="M575" s="189"/>
      <c r="N575" s="189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  <c r="EY575" s="37"/>
      <c r="EZ575" s="37"/>
      <c r="FA575" s="37"/>
      <c r="FB575" s="37"/>
      <c r="FC575" s="37"/>
      <c r="FD575" s="37"/>
      <c r="FE575" s="37"/>
      <c r="FF575" s="37"/>
      <c r="FG575" s="37"/>
      <c r="FH575" s="37"/>
      <c r="FI575" s="37"/>
      <c r="FJ575" s="37"/>
      <c r="FK575" s="37"/>
      <c r="FL575" s="37"/>
      <c r="FM575" s="37"/>
      <c r="FN575" s="37"/>
      <c r="FO575" s="37"/>
      <c r="FP575" s="37"/>
      <c r="FQ575" s="37"/>
      <c r="FR575" s="37"/>
      <c r="FS575" s="37"/>
      <c r="FT575" s="37"/>
      <c r="FU575" s="37"/>
      <c r="FV575" s="37"/>
      <c r="FW575" s="37"/>
      <c r="FX575" s="37"/>
      <c r="FY575" s="37"/>
      <c r="FZ575" s="37"/>
      <c r="GA575" s="37"/>
      <c r="GB575" s="37"/>
      <c r="GC575" s="37"/>
      <c r="GD575" s="37"/>
      <c r="GE575" s="37"/>
      <c r="GF575" s="37"/>
      <c r="GG575" s="37"/>
      <c r="GH575" s="37"/>
      <c r="GI575" s="37"/>
    </row>
    <row r="576" spans="1:191">
      <c r="A576" s="398"/>
      <c r="B576" s="398"/>
      <c r="C576" s="398"/>
      <c r="D576" s="398"/>
      <c r="E576" s="398"/>
      <c r="F576" s="398"/>
      <c r="G576" s="177"/>
      <c r="H576" s="43"/>
      <c r="I576" s="50"/>
      <c r="J576" s="50"/>
      <c r="K576" s="189"/>
      <c r="L576" s="189"/>
      <c r="M576" s="189"/>
      <c r="N576" s="189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  <c r="EY576" s="37"/>
      <c r="EZ576" s="37"/>
      <c r="FA576" s="37"/>
      <c r="FB576" s="37"/>
      <c r="FC576" s="37"/>
      <c r="FD576" s="37"/>
      <c r="FE576" s="37"/>
      <c r="FF576" s="37"/>
      <c r="FG576" s="37"/>
      <c r="FH576" s="37"/>
      <c r="FI576" s="37"/>
      <c r="FJ576" s="37"/>
      <c r="FK576" s="37"/>
      <c r="FL576" s="37"/>
      <c r="FM576" s="37"/>
      <c r="FN576" s="37"/>
      <c r="FO576" s="37"/>
      <c r="FP576" s="37"/>
      <c r="FQ576" s="37"/>
      <c r="FR576" s="37"/>
      <c r="FS576" s="37"/>
      <c r="FT576" s="37"/>
      <c r="FU576" s="37"/>
      <c r="FV576" s="37"/>
      <c r="FW576" s="37"/>
      <c r="FX576" s="37"/>
      <c r="FY576" s="37"/>
      <c r="FZ576" s="37"/>
      <c r="GA576" s="37"/>
      <c r="GB576" s="37"/>
      <c r="GC576" s="37"/>
      <c r="GD576" s="37"/>
      <c r="GE576" s="37"/>
      <c r="GF576" s="37"/>
      <c r="GG576" s="37"/>
      <c r="GH576" s="37"/>
      <c r="GI576" s="37"/>
    </row>
    <row r="577" spans="1:191">
      <c r="A577" s="398"/>
      <c r="B577" s="398"/>
      <c r="C577" s="398"/>
      <c r="D577" s="398"/>
      <c r="E577" s="398"/>
      <c r="F577" s="398"/>
      <c r="G577" s="177"/>
      <c r="H577" s="43"/>
      <c r="I577" s="50"/>
      <c r="J577" s="50"/>
      <c r="K577" s="189"/>
      <c r="L577" s="189"/>
      <c r="M577" s="189"/>
      <c r="N577" s="189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M577" s="37"/>
      <c r="DN577" s="37"/>
      <c r="DO577" s="37"/>
      <c r="DP577" s="37"/>
      <c r="DQ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  <c r="EW577" s="37"/>
      <c r="EX577" s="37"/>
      <c r="EY577" s="37"/>
      <c r="EZ577" s="37"/>
      <c r="FA577" s="37"/>
      <c r="FB577" s="37"/>
      <c r="FC577" s="37"/>
      <c r="FD577" s="37"/>
      <c r="FE577" s="37"/>
      <c r="FF577" s="37"/>
      <c r="FG577" s="37"/>
      <c r="FH577" s="37"/>
      <c r="FI577" s="37"/>
      <c r="FJ577" s="37"/>
      <c r="FK577" s="37"/>
      <c r="FL577" s="37"/>
      <c r="FM577" s="37"/>
      <c r="FN577" s="37"/>
      <c r="FO577" s="37"/>
      <c r="FP577" s="37"/>
      <c r="FQ577" s="37"/>
      <c r="FR577" s="37"/>
      <c r="FS577" s="37"/>
      <c r="FT577" s="37"/>
      <c r="FU577" s="37"/>
      <c r="FV577" s="37"/>
      <c r="FW577" s="37"/>
      <c r="FX577" s="37"/>
      <c r="FY577" s="37"/>
      <c r="FZ577" s="37"/>
      <c r="GA577" s="37"/>
      <c r="GB577" s="37"/>
      <c r="GC577" s="37"/>
      <c r="GD577" s="37"/>
      <c r="GE577" s="37"/>
      <c r="GF577" s="37"/>
      <c r="GG577" s="37"/>
      <c r="GH577" s="37"/>
      <c r="GI577" s="37"/>
    </row>
    <row r="578" spans="1:191">
      <c r="A578" s="398"/>
      <c r="B578" s="398"/>
      <c r="C578" s="398"/>
      <c r="D578" s="398"/>
      <c r="E578" s="398"/>
      <c r="F578" s="398"/>
      <c r="G578" s="177"/>
      <c r="H578" s="43"/>
      <c r="I578" s="50"/>
      <c r="J578" s="50"/>
      <c r="K578" s="189"/>
      <c r="L578" s="189"/>
      <c r="M578" s="189"/>
      <c r="N578" s="189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M578" s="37"/>
      <c r="DN578" s="37"/>
      <c r="DO578" s="37"/>
      <c r="DP578" s="37"/>
      <c r="DQ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  <c r="EW578" s="37"/>
      <c r="EX578" s="37"/>
      <c r="EY578" s="37"/>
      <c r="EZ578" s="37"/>
      <c r="FA578" s="37"/>
      <c r="FB578" s="37"/>
      <c r="FC578" s="37"/>
      <c r="FD578" s="37"/>
      <c r="FE578" s="37"/>
      <c r="FF578" s="37"/>
      <c r="FG578" s="37"/>
      <c r="FH578" s="37"/>
      <c r="FI578" s="37"/>
      <c r="FJ578" s="37"/>
      <c r="FK578" s="37"/>
      <c r="FL578" s="37"/>
      <c r="FM578" s="37"/>
      <c r="FN578" s="37"/>
      <c r="FO578" s="37"/>
      <c r="FP578" s="37"/>
      <c r="FQ578" s="37"/>
      <c r="FR578" s="37"/>
      <c r="FS578" s="37"/>
      <c r="FT578" s="37"/>
      <c r="FU578" s="37"/>
      <c r="FV578" s="37"/>
      <c r="FW578" s="37"/>
      <c r="FX578" s="37"/>
      <c r="FY578" s="37"/>
      <c r="FZ578" s="37"/>
      <c r="GA578" s="37"/>
      <c r="GB578" s="37"/>
      <c r="GC578" s="37"/>
      <c r="GD578" s="37"/>
      <c r="GE578" s="37"/>
      <c r="GF578" s="37"/>
      <c r="GG578" s="37"/>
      <c r="GH578" s="37"/>
      <c r="GI578" s="37"/>
    </row>
    <row r="579" spans="1:191">
      <c r="A579" s="398"/>
      <c r="B579" s="398"/>
      <c r="C579" s="398"/>
      <c r="D579" s="398"/>
      <c r="E579" s="398"/>
      <c r="F579" s="398"/>
      <c r="G579" s="177"/>
      <c r="H579" s="43"/>
      <c r="I579" s="50"/>
      <c r="J579" s="50"/>
      <c r="K579" s="189"/>
      <c r="L579" s="189"/>
      <c r="M579" s="189"/>
      <c r="N579" s="189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37"/>
      <c r="CP579" s="37"/>
      <c r="CQ579" s="37"/>
      <c r="CR579" s="37"/>
      <c r="CS579" s="37"/>
      <c r="CT579" s="37"/>
      <c r="CU579" s="37"/>
      <c r="CV579" s="37"/>
      <c r="CW579" s="37"/>
      <c r="CX579" s="37"/>
      <c r="CY579" s="37"/>
      <c r="CZ579" s="37"/>
      <c r="DA579" s="37"/>
      <c r="DB579" s="37"/>
      <c r="DC579" s="37"/>
      <c r="DD579" s="37"/>
      <c r="DE579" s="37"/>
      <c r="DF579" s="37"/>
      <c r="DG579" s="37"/>
      <c r="DH579" s="37"/>
      <c r="DI579" s="37"/>
      <c r="DJ579" s="37"/>
      <c r="DK579" s="37"/>
      <c r="DL579" s="37"/>
      <c r="DM579" s="37"/>
      <c r="DN579" s="37"/>
      <c r="DO579" s="37"/>
      <c r="DP579" s="37"/>
      <c r="DQ579" s="37"/>
      <c r="DR579" s="37"/>
      <c r="DS579" s="37"/>
      <c r="DT579" s="37"/>
      <c r="DU579" s="37"/>
      <c r="DV579" s="37"/>
      <c r="DW579" s="37"/>
      <c r="DX579" s="37"/>
      <c r="DY579" s="37"/>
      <c r="DZ579" s="37"/>
      <c r="EA579" s="37"/>
      <c r="EB579" s="37"/>
      <c r="EC579" s="37"/>
      <c r="ED579" s="37"/>
      <c r="EE579" s="37"/>
      <c r="EF579" s="37"/>
      <c r="EG579" s="37"/>
      <c r="EH579" s="37"/>
      <c r="EI579" s="37"/>
      <c r="EJ579" s="37"/>
      <c r="EK579" s="37"/>
      <c r="EL579" s="37"/>
      <c r="EM579" s="37"/>
      <c r="EN579" s="37"/>
      <c r="EO579" s="37"/>
      <c r="EP579" s="37"/>
      <c r="EQ579" s="37"/>
      <c r="ER579" s="37"/>
      <c r="ES579" s="37"/>
      <c r="ET579" s="37"/>
      <c r="EU579" s="37"/>
      <c r="EV579" s="37"/>
      <c r="EW579" s="37"/>
      <c r="EX579" s="37"/>
      <c r="EY579" s="37"/>
      <c r="EZ579" s="37"/>
      <c r="FA579" s="37"/>
      <c r="FB579" s="37"/>
      <c r="FC579" s="37"/>
      <c r="FD579" s="37"/>
      <c r="FE579" s="37"/>
      <c r="FF579" s="37"/>
      <c r="FG579" s="37"/>
      <c r="FH579" s="37"/>
      <c r="FI579" s="37"/>
      <c r="FJ579" s="37"/>
      <c r="FK579" s="37"/>
      <c r="FL579" s="37"/>
      <c r="FM579" s="37"/>
      <c r="FN579" s="37"/>
      <c r="FO579" s="37"/>
      <c r="FP579" s="37"/>
      <c r="FQ579" s="37"/>
      <c r="FR579" s="37"/>
      <c r="FS579" s="37"/>
      <c r="FT579" s="37"/>
      <c r="FU579" s="37"/>
      <c r="FV579" s="37"/>
      <c r="FW579" s="37"/>
      <c r="FX579" s="37"/>
      <c r="FY579" s="37"/>
      <c r="FZ579" s="37"/>
      <c r="GA579" s="37"/>
      <c r="GB579" s="37"/>
      <c r="GC579" s="37"/>
      <c r="GD579" s="37"/>
      <c r="GE579" s="37"/>
      <c r="GF579" s="37"/>
      <c r="GG579" s="37"/>
      <c r="GH579" s="37"/>
      <c r="GI579" s="37"/>
    </row>
    <row r="580" spans="1:191">
      <c r="A580" s="398"/>
      <c r="B580" s="398"/>
      <c r="C580" s="398"/>
      <c r="D580" s="398"/>
      <c r="E580" s="398"/>
      <c r="F580" s="398"/>
      <c r="G580" s="177"/>
      <c r="H580" s="43"/>
      <c r="I580" s="50"/>
      <c r="J580" s="50"/>
      <c r="K580" s="189"/>
      <c r="L580" s="189"/>
      <c r="M580" s="189"/>
      <c r="N580" s="189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  <c r="EY580" s="37"/>
      <c r="EZ580" s="37"/>
      <c r="FA580" s="37"/>
      <c r="FB580" s="37"/>
      <c r="FC580" s="37"/>
      <c r="FD580" s="37"/>
      <c r="FE580" s="37"/>
      <c r="FF580" s="37"/>
      <c r="FG580" s="37"/>
      <c r="FH580" s="37"/>
      <c r="FI580" s="37"/>
      <c r="FJ580" s="37"/>
      <c r="FK580" s="37"/>
      <c r="FL580" s="37"/>
      <c r="FM580" s="37"/>
      <c r="FN580" s="37"/>
      <c r="FO580" s="37"/>
      <c r="FP580" s="37"/>
      <c r="FQ580" s="37"/>
      <c r="FR580" s="37"/>
      <c r="FS580" s="37"/>
      <c r="FT580" s="37"/>
      <c r="FU580" s="37"/>
      <c r="FV580" s="37"/>
      <c r="FW580" s="37"/>
      <c r="FX580" s="37"/>
      <c r="FY580" s="37"/>
      <c r="FZ580" s="37"/>
      <c r="GA580" s="37"/>
      <c r="GB580" s="37"/>
      <c r="GC580" s="37"/>
      <c r="GD580" s="37"/>
      <c r="GE580" s="37"/>
      <c r="GF580" s="37"/>
      <c r="GG580" s="37"/>
      <c r="GH580" s="37"/>
      <c r="GI580" s="37"/>
    </row>
    <row r="581" spans="1:191">
      <c r="A581" s="398"/>
      <c r="B581" s="398"/>
      <c r="C581" s="398"/>
      <c r="D581" s="398"/>
      <c r="E581" s="398"/>
      <c r="F581" s="398"/>
      <c r="G581" s="177"/>
      <c r="H581" s="43"/>
      <c r="I581" s="50"/>
      <c r="J581" s="50"/>
      <c r="K581" s="189"/>
      <c r="L581" s="189"/>
      <c r="M581" s="189"/>
      <c r="N581" s="189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7"/>
      <c r="DF581" s="37"/>
      <c r="DG581" s="37"/>
      <c r="DH581" s="37"/>
      <c r="DI581" s="37"/>
      <c r="DJ581" s="37"/>
      <c r="DK581" s="37"/>
      <c r="DL581" s="37"/>
      <c r="DM581" s="37"/>
      <c r="DN581" s="37"/>
      <c r="DO581" s="37"/>
      <c r="DP581" s="37"/>
      <c r="DQ581" s="37"/>
      <c r="DR581" s="37"/>
      <c r="DS581" s="37"/>
      <c r="DT581" s="37"/>
      <c r="DU581" s="37"/>
      <c r="DV581" s="37"/>
      <c r="DW581" s="37"/>
      <c r="DX581" s="37"/>
      <c r="DY581" s="37"/>
      <c r="DZ581" s="37"/>
      <c r="EA581" s="37"/>
      <c r="EB581" s="37"/>
      <c r="EC581" s="37"/>
      <c r="ED581" s="37"/>
      <c r="EE581" s="37"/>
      <c r="EF581" s="37"/>
      <c r="EG581" s="37"/>
      <c r="EH581" s="37"/>
      <c r="EI581" s="37"/>
      <c r="EJ581" s="37"/>
      <c r="EK581" s="37"/>
      <c r="EL581" s="37"/>
      <c r="EM581" s="37"/>
      <c r="EN581" s="37"/>
      <c r="EO581" s="37"/>
      <c r="EP581" s="37"/>
      <c r="EQ581" s="37"/>
      <c r="ER581" s="37"/>
      <c r="ES581" s="37"/>
      <c r="ET581" s="37"/>
      <c r="EU581" s="37"/>
      <c r="EV581" s="37"/>
      <c r="EW581" s="37"/>
      <c r="EX581" s="37"/>
      <c r="EY581" s="37"/>
      <c r="EZ581" s="37"/>
      <c r="FA581" s="37"/>
      <c r="FB581" s="37"/>
      <c r="FC581" s="37"/>
      <c r="FD581" s="37"/>
      <c r="FE581" s="37"/>
      <c r="FF581" s="37"/>
      <c r="FG581" s="37"/>
      <c r="FH581" s="37"/>
      <c r="FI581" s="37"/>
      <c r="FJ581" s="37"/>
      <c r="FK581" s="37"/>
      <c r="FL581" s="37"/>
      <c r="FM581" s="37"/>
      <c r="FN581" s="37"/>
      <c r="FO581" s="37"/>
      <c r="FP581" s="37"/>
      <c r="FQ581" s="37"/>
      <c r="FR581" s="37"/>
      <c r="FS581" s="37"/>
      <c r="FT581" s="37"/>
      <c r="FU581" s="37"/>
      <c r="FV581" s="37"/>
      <c r="FW581" s="37"/>
      <c r="FX581" s="37"/>
      <c r="FY581" s="37"/>
      <c r="FZ581" s="37"/>
      <c r="GA581" s="37"/>
      <c r="GB581" s="37"/>
      <c r="GC581" s="37"/>
      <c r="GD581" s="37"/>
      <c r="GE581" s="37"/>
      <c r="GF581" s="37"/>
      <c r="GG581" s="37"/>
      <c r="GH581" s="37"/>
      <c r="GI581" s="37"/>
    </row>
    <row r="582" spans="1:191">
      <c r="A582" s="398"/>
      <c r="B582" s="398"/>
      <c r="C582" s="398"/>
      <c r="D582" s="398"/>
      <c r="E582" s="398"/>
      <c r="F582" s="398"/>
      <c r="G582" s="177"/>
      <c r="H582" s="43"/>
      <c r="I582" s="50"/>
      <c r="J582" s="50"/>
      <c r="K582" s="189"/>
      <c r="L582" s="189"/>
      <c r="M582" s="189"/>
      <c r="N582" s="189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  <c r="EY582" s="37"/>
      <c r="EZ582" s="37"/>
      <c r="FA582" s="37"/>
      <c r="FB582" s="37"/>
      <c r="FC582" s="37"/>
      <c r="FD582" s="37"/>
      <c r="FE582" s="37"/>
      <c r="FF582" s="37"/>
      <c r="FG582" s="37"/>
      <c r="FH582" s="37"/>
      <c r="FI582" s="37"/>
      <c r="FJ582" s="37"/>
      <c r="FK582" s="37"/>
      <c r="FL582" s="37"/>
      <c r="FM582" s="37"/>
      <c r="FN582" s="37"/>
      <c r="FO582" s="37"/>
      <c r="FP582" s="37"/>
      <c r="FQ582" s="37"/>
      <c r="FR582" s="37"/>
      <c r="FS582" s="37"/>
      <c r="FT582" s="37"/>
      <c r="FU582" s="37"/>
      <c r="FV582" s="37"/>
      <c r="FW582" s="37"/>
      <c r="FX582" s="37"/>
      <c r="FY582" s="37"/>
      <c r="FZ582" s="37"/>
      <c r="GA582" s="37"/>
      <c r="GB582" s="37"/>
      <c r="GC582" s="37"/>
      <c r="GD582" s="37"/>
      <c r="GE582" s="37"/>
      <c r="GF582" s="37"/>
      <c r="GG582" s="37"/>
      <c r="GH582" s="37"/>
      <c r="GI582" s="37"/>
    </row>
    <row r="583" spans="1:191">
      <c r="A583" s="398"/>
      <c r="B583" s="398"/>
      <c r="C583" s="398"/>
      <c r="D583" s="398"/>
      <c r="E583" s="398"/>
      <c r="F583" s="398"/>
      <c r="G583" s="177"/>
      <c r="H583" s="43"/>
      <c r="I583" s="50"/>
      <c r="J583" s="50"/>
      <c r="K583" s="189"/>
      <c r="L583" s="189"/>
      <c r="M583" s="189"/>
      <c r="N583" s="189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  <c r="EY583" s="37"/>
      <c r="EZ583" s="37"/>
      <c r="FA583" s="37"/>
      <c r="FB583" s="37"/>
      <c r="FC583" s="37"/>
      <c r="FD583" s="37"/>
      <c r="FE583" s="37"/>
      <c r="FF583" s="37"/>
      <c r="FG583" s="37"/>
      <c r="FH583" s="37"/>
      <c r="FI583" s="37"/>
      <c r="FJ583" s="37"/>
      <c r="FK583" s="37"/>
      <c r="FL583" s="37"/>
      <c r="FM583" s="37"/>
      <c r="FN583" s="37"/>
      <c r="FO583" s="37"/>
      <c r="FP583" s="37"/>
      <c r="FQ583" s="37"/>
      <c r="FR583" s="37"/>
      <c r="FS583" s="37"/>
      <c r="FT583" s="37"/>
      <c r="FU583" s="37"/>
      <c r="FV583" s="37"/>
      <c r="FW583" s="37"/>
      <c r="FX583" s="37"/>
      <c r="FY583" s="37"/>
      <c r="FZ583" s="37"/>
      <c r="GA583" s="37"/>
      <c r="GB583" s="37"/>
      <c r="GC583" s="37"/>
      <c r="GD583" s="37"/>
      <c r="GE583" s="37"/>
      <c r="GF583" s="37"/>
      <c r="GG583" s="37"/>
      <c r="GH583" s="37"/>
      <c r="GI583" s="37"/>
    </row>
    <row r="584" spans="1:191">
      <c r="A584" s="398"/>
      <c r="B584" s="398"/>
      <c r="C584" s="398"/>
      <c r="D584" s="398"/>
      <c r="E584" s="398"/>
      <c r="F584" s="398"/>
      <c r="G584" s="177"/>
      <c r="H584" s="43"/>
      <c r="I584" s="50"/>
      <c r="J584" s="50"/>
      <c r="K584" s="189"/>
      <c r="L584" s="189"/>
      <c r="M584" s="189"/>
      <c r="N584" s="189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  <c r="EY584" s="37"/>
      <c r="EZ584" s="37"/>
      <c r="FA584" s="37"/>
      <c r="FB584" s="37"/>
      <c r="FC584" s="37"/>
      <c r="FD584" s="37"/>
      <c r="FE584" s="37"/>
      <c r="FF584" s="37"/>
      <c r="FG584" s="37"/>
      <c r="FH584" s="37"/>
      <c r="FI584" s="37"/>
      <c r="FJ584" s="37"/>
      <c r="FK584" s="37"/>
      <c r="FL584" s="37"/>
      <c r="FM584" s="37"/>
      <c r="FN584" s="37"/>
      <c r="FO584" s="37"/>
      <c r="FP584" s="37"/>
      <c r="FQ584" s="37"/>
      <c r="FR584" s="37"/>
      <c r="FS584" s="37"/>
      <c r="FT584" s="37"/>
      <c r="FU584" s="37"/>
      <c r="FV584" s="37"/>
      <c r="FW584" s="37"/>
      <c r="FX584" s="37"/>
      <c r="FY584" s="37"/>
      <c r="FZ584" s="37"/>
      <c r="GA584" s="37"/>
      <c r="GB584" s="37"/>
      <c r="GC584" s="37"/>
      <c r="GD584" s="37"/>
      <c r="GE584" s="37"/>
      <c r="GF584" s="37"/>
      <c r="GG584" s="37"/>
      <c r="GH584" s="37"/>
      <c r="GI584" s="37"/>
    </row>
    <row r="585" spans="1:191">
      <c r="A585" s="398"/>
      <c r="B585" s="398"/>
      <c r="C585" s="398"/>
      <c r="D585" s="398"/>
      <c r="E585" s="398"/>
      <c r="F585" s="398"/>
      <c r="G585" s="177"/>
      <c r="H585" s="43"/>
      <c r="I585" s="50"/>
      <c r="J585" s="50"/>
      <c r="K585" s="189"/>
      <c r="L585" s="189"/>
      <c r="M585" s="189"/>
      <c r="N585" s="189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  <c r="EY585" s="37"/>
      <c r="EZ585" s="37"/>
      <c r="FA585" s="37"/>
      <c r="FB585" s="37"/>
      <c r="FC585" s="37"/>
      <c r="FD585" s="37"/>
      <c r="FE585" s="37"/>
      <c r="FF585" s="37"/>
      <c r="FG585" s="37"/>
      <c r="FH585" s="37"/>
      <c r="FI585" s="37"/>
      <c r="FJ585" s="37"/>
      <c r="FK585" s="37"/>
      <c r="FL585" s="37"/>
      <c r="FM585" s="37"/>
      <c r="FN585" s="37"/>
      <c r="FO585" s="37"/>
      <c r="FP585" s="37"/>
      <c r="FQ585" s="37"/>
      <c r="FR585" s="37"/>
      <c r="FS585" s="37"/>
      <c r="FT585" s="37"/>
      <c r="FU585" s="37"/>
      <c r="FV585" s="37"/>
      <c r="FW585" s="37"/>
      <c r="FX585" s="37"/>
      <c r="FY585" s="37"/>
      <c r="FZ585" s="37"/>
      <c r="GA585" s="37"/>
      <c r="GB585" s="37"/>
      <c r="GC585" s="37"/>
      <c r="GD585" s="37"/>
      <c r="GE585" s="37"/>
      <c r="GF585" s="37"/>
      <c r="GG585" s="37"/>
      <c r="GH585" s="37"/>
      <c r="GI585" s="37"/>
    </row>
    <row r="586" spans="1:191">
      <c r="A586" s="398"/>
      <c r="B586" s="398"/>
      <c r="C586" s="398"/>
      <c r="D586" s="398"/>
      <c r="E586" s="398"/>
      <c r="F586" s="398"/>
      <c r="G586" s="177"/>
      <c r="H586" s="43"/>
      <c r="I586" s="50"/>
      <c r="J586" s="50"/>
      <c r="K586" s="189"/>
      <c r="L586" s="189"/>
      <c r="M586" s="189"/>
      <c r="N586" s="189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  <c r="EY586" s="37"/>
      <c r="EZ586" s="37"/>
      <c r="FA586" s="37"/>
      <c r="FB586" s="37"/>
      <c r="FC586" s="37"/>
      <c r="FD586" s="37"/>
      <c r="FE586" s="37"/>
      <c r="FF586" s="37"/>
      <c r="FG586" s="37"/>
      <c r="FH586" s="37"/>
      <c r="FI586" s="37"/>
      <c r="FJ586" s="37"/>
      <c r="FK586" s="37"/>
      <c r="FL586" s="37"/>
      <c r="FM586" s="37"/>
      <c r="FN586" s="37"/>
      <c r="FO586" s="37"/>
      <c r="FP586" s="37"/>
      <c r="FQ586" s="37"/>
      <c r="FR586" s="37"/>
      <c r="FS586" s="37"/>
      <c r="FT586" s="37"/>
      <c r="FU586" s="37"/>
      <c r="FV586" s="37"/>
      <c r="FW586" s="37"/>
      <c r="FX586" s="37"/>
      <c r="FY586" s="37"/>
      <c r="FZ586" s="37"/>
      <c r="GA586" s="37"/>
      <c r="GB586" s="37"/>
      <c r="GC586" s="37"/>
      <c r="GD586" s="37"/>
      <c r="GE586" s="37"/>
      <c r="GF586" s="37"/>
      <c r="GG586" s="37"/>
      <c r="GH586" s="37"/>
      <c r="GI586" s="37"/>
    </row>
    <row r="587" spans="1:191">
      <c r="A587" s="398"/>
      <c r="B587" s="398"/>
      <c r="C587" s="398"/>
      <c r="D587" s="398"/>
      <c r="E587" s="398"/>
      <c r="F587" s="398"/>
      <c r="G587" s="177"/>
      <c r="H587" s="43"/>
      <c r="I587" s="50"/>
      <c r="J587" s="50"/>
      <c r="K587" s="189"/>
      <c r="L587" s="189"/>
      <c r="M587" s="189"/>
      <c r="N587" s="189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  <c r="EY587" s="37"/>
      <c r="EZ587" s="37"/>
      <c r="FA587" s="37"/>
      <c r="FB587" s="37"/>
      <c r="FC587" s="37"/>
      <c r="FD587" s="37"/>
      <c r="FE587" s="37"/>
      <c r="FF587" s="37"/>
      <c r="FG587" s="37"/>
      <c r="FH587" s="37"/>
      <c r="FI587" s="37"/>
      <c r="FJ587" s="37"/>
      <c r="FK587" s="37"/>
      <c r="FL587" s="37"/>
      <c r="FM587" s="37"/>
      <c r="FN587" s="37"/>
      <c r="FO587" s="37"/>
      <c r="FP587" s="37"/>
      <c r="FQ587" s="37"/>
      <c r="FR587" s="37"/>
      <c r="FS587" s="37"/>
      <c r="FT587" s="37"/>
      <c r="FU587" s="37"/>
      <c r="FV587" s="37"/>
      <c r="FW587" s="37"/>
      <c r="FX587" s="37"/>
      <c r="FY587" s="37"/>
      <c r="FZ587" s="37"/>
      <c r="GA587" s="37"/>
      <c r="GB587" s="37"/>
      <c r="GC587" s="37"/>
      <c r="GD587" s="37"/>
      <c r="GE587" s="37"/>
      <c r="GF587" s="37"/>
      <c r="GG587" s="37"/>
      <c r="GH587" s="37"/>
      <c r="GI587" s="37"/>
    </row>
  </sheetData>
  <autoFilter ref="A2:GI273" xr:uid="{00000000-0009-0000-0000-000003000000}"/>
  <mergeCells count="8">
    <mergeCell ref="L1:L2"/>
    <mergeCell ref="M1:M2"/>
    <mergeCell ref="N1:N2"/>
    <mergeCell ref="G1:G2"/>
    <mergeCell ref="I1:I2"/>
    <mergeCell ref="H1:H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headerFooter>
    <oddHeader>&amp;LASUFC Conto Economico Preventivo 2025 - Gestione Sanità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80"/>
  <sheetViews>
    <sheetView topLeftCell="A13" zoomScaleNormal="100" workbookViewId="0">
      <selection activeCell="G33" sqref="G33:H33"/>
    </sheetView>
  </sheetViews>
  <sheetFormatPr defaultColWidth="9.140625" defaultRowHeight="12.75"/>
  <cols>
    <col min="1" max="2" width="3.42578125" style="575" customWidth="1"/>
    <col min="3" max="4" width="2.7109375" style="575" customWidth="1"/>
    <col min="5" max="5" width="3.42578125" style="575" customWidth="1"/>
    <col min="6" max="6" width="40.7109375" style="425" customWidth="1"/>
    <col min="7" max="7" width="13.140625" style="463" bestFit="1" customWidth="1"/>
    <col min="8" max="8" width="12.85546875" style="463" bestFit="1" customWidth="1"/>
    <col min="9" max="9" width="13" style="571" customWidth="1"/>
    <col min="10" max="10" width="13" style="571" bestFit="1" customWidth="1"/>
    <col min="11" max="11" width="12" style="572" bestFit="1" customWidth="1"/>
    <col min="12" max="12" width="11" style="573" customWidth="1"/>
    <col min="13" max="13" width="13.42578125" style="425" bestFit="1" customWidth="1"/>
    <col min="14" max="14" width="13.85546875" style="425" bestFit="1" customWidth="1"/>
    <col min="15" max="16" width="9.140625" style="425"/>
    <col min="17" max="17" width="12.7109375" style="425" bestFit="1" customWidth="1"/>
    <col min="18" max="18" width="9.140625" style="425"/>
    <col min="19" max="19" width="10.85546875" style="425" bestFit="1" customWidth="1"/>
    <col min="20" max="16384" width="9.140625" style="425"/>
  </cols>
  <sheetData>
    <row r="1" spans="1:20" ht="32.25" customHeight="1" thickBot="1">
      <c r="A1" s="1009" t="s">
        <v>3528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1" t="s">
        <v>3529</v>
      </c>
      <c r="L1" s="1012"/>
    </row>
    <row r="2" spans="1:20" ht="7.5" customHeight="1" thickBot="1">
      <c r="A2" s="426"/>
      <c r="B2" s="426"/>
      <c r="C2" s="426"/>
      <c r="D2" s="426"/>
      <c r="E2" s="426"/>
      <c r="F2" s="427"/>
      <c r="G2" s="428"/>
      <c r="H2" s="428"/>
      <c r="I2" s="429"/>
      <c r="J2" s="430"/>
      <c r="K2" s="431"/>
      <c r="L2" s="432"/>
    </row>
    <row r="3" spans="1:20" ht="13.15" customHeight="1">
      <c r="A3" s="1013" t="s">
        <v>2105</v>
      </c>
      <c r="B3" s="1014"/>
      <c r="C3" s="1014"/>
      <c r="D3" s="1014"/>
      <c r="E3" s="1014"/>
      <c r="F3" s="1014"/>
      <c r="G3" s="1014"/>
      <c r="H3" s="1014"/>
      <c r="I3" s="1018" t="s">
        <v>4874</v>
      </c>
      <c r="J3" s="1018" t="s">
        <v>3530</v>
      </c>
      <c r="K3" s="1020" t="s">
        <v>4875</v>
      </c>
      <c r="L3" s="1021"/>
    </row>
    <row r="4" spans="1:20" ht="39.75" customHeight="1">
      <c r="A4" s="1015"/>
      <c r="B4" s="1016"/>
      <c r="C4" s="1016"/>
      <c r="D4" s="1016"/>
      <c r="E4" s="1016"/>
      <c r="F4" s="1016"/>
      <c r="G4" s="1017"/>
      <c r="H4" s="1016"/>
      <c r="I4" s="1019"/>
      <c r="J4" s="1019"/>
      <c r="K4" s="433" t="s">
        <v>1</v>
      </c>
      <c r="L4" s="434" t="s">
        <v>2</v>
      </c>
    </row>
    <row r="5" spans="1:20">
      <c r="A5" s="435"/>
      <c r="B5" s="436"/>
      <c r="C5" s="436"/>
      <c r="D5" s="436"/>
      <c r="E5" s="436"/>
      <c r="F5" s="437"/>
      <c r="G5" s="438"/>
      <c r="H5" s="439"/>
      <c r="I5" s="440"/>
      <c r="J5" s="440"/>
      <c r="K5" s="441"/>
      <c r="L5" s="442"/>
    </row>
    <row r="6" spans="1:20" s="452" customFormat="1" ht="11.25">
      <c r="A6" s="443" t="s">
        <v>3</v>
      </c>
      <c r="B6" s="444" t="s">
        <v>3532</v>
      </c>
      <c r="C6" s="445"/>
      <c r="D6" s="445"/>
      <c r="E6" s="445"/>
      <c r="F6" s="446"/>
      <c r="G6" s="447"/>
      <c r="H6" s="447"/>
      <c r="I6" s="448"/>
      <c r="J6" s="449"/>
      <c r="K6" s="450"/>
      <c r="L6" s="451"/>
    </row>
    <row r="7" spans="1:20" s="452" customFormat="1" ht="11.25">
      <c r="A7" s="453"/>
      <c r="B7" s="445" t="s">
        <v>122</v>
      </c>
      <c r="C7" s="454" t="s">
        <v>3533</v>
      </c>
      <c r="D7" s="445"/>
      <c r="E7" s="445"/>
      <c r="F7" s="446"/>
      <c r="G7" s="447"/>
      <c r="H7" s="447"/>
      <c r="I7" s="455">
        <f>SUM(I8:I12)</f>
        <v>24691</v>
      </c>
      <c r="J7" s="455">
        <f>SUM(J8:J12)</f>
        <v>39205</v>
      </c>
      <c r="K7" s="456">
        <f>+I7-J7</f>
        <v>-14514</v>
      </c>
      <c r="L7" s="183">
        <f>IF(J7=0,"-    ",K7/J7)</f>
        <v>-0.37020788164774904</v>
      </c>
      <c r="M7" s="457"/>
    </row>
    <row r="8" spans="1:20" s="463" customFormat="1" ht="11.25">
      <c r="A8" s="443"/>
      <c r="B8" s="445"/>
      <c r="C8" s="458" t="s">
        <v>85</v>
      </c>
      <c r="D8" s="190" t="s">
        <v>3534</v>
      </c>
      <c r="E8" s="445"/>
      <c r="F8" s="459"/>
      <c r="G8" s="460"/>
      <c r="H8" s="460"/>
      <c r="I8" s="461">
        <f>ROUND(+'SP Min'!D32-'SP Min'!D54,0)</f>
        <v>0</v>
      </c>
      <c r="J8" s="461">
        <f>ROUND(+'SP Min'!E32-'SP Min'!E54,0)</f>
        <v>0</v>
      </c>
      <c r="K8" s="456">
        <f t="shared" ref="K8:K37" si="0">+I8-J8</f>
        <v>0</v>
      </c>
      <c r="L8" s="462" t="str">
        <f t="shared" ref="L8:L36" si="1">IF(J8=0,"-    ",K8/J8)</f>
        <v xml:space="preserve">-    </v>
      </c>
      <c r="M8" s="457"/>
    </row>
    <row r="9" spans="1:20" s="463" customFormat="1" ht="11.25">
      <c r="A9" s="464"/>
      <c r="B9" s="445"/>
      <c r="C9" s="458" t="s">
        <v>87</v>
      </c>
      <c r="D9" s="190" t="s">
        <v>3535</v>
      </c>
      <c r="E9" s="445"/>
      <c r="F9" s="465"/>
      <c r="G9" s="460"/>
      <c r="H9" s="460"/>
      <c r="I9" s="466">
        <f>ROUND(+'SP Min'!D35-'SP Min'!D55,0)</f>
        <v>0</v>
      </c>
      <c r="J9" s="466">
        <f>ROUND(+'SP Min'!E35-'SP Min'!E55,0)</f>
        <v>0</v>
      </c>
      <c r="K9" s="456">
        <f t="shared" si="0"/>
        <v>0</v>
      </c>
      <c r="L9" s="462" t="str">
        <f t="shared" si="1"/>
        <v xml:space="preserve">-    </v>
      </c>
      <c r="M9" s="457"/>
    </row>
    <row r="10" spans="1:20" s="463" customFormat="1" ht="11.25">
      <c r="A10" s="464"/>
      <c r="B10" s="445"/>
      <c r="C10" s="458" t="s">
        <v>115</v>
      </c>
      <c r="D10" s="190" t="s">
        <v>3536</v>
      </c>
      <c r="E10" s="445"/>
      <c r="F10" s="465"/>
      <c r="G10" s="460"/>
      <c r="H10" s="460"/>
      <c r="I10" s="466">
        <f>ROUND(+'SP Min'!D38-'SP Min'!D56,0)</f>
        <v>0</v>
      </c>
      <c r="J10" s="466">
        <f>ROUND(+'SP Min'!E38-'SP Min'!E56,0)</f>
        <v>0</v>
      </c>
      <c r="K10" s="456">
        <f t="shared" si="0"/>
        <v>0</v>
      </c>
      <c r="L10" s="462" t="str">
        <f t="shared" si="1"/>
        <v xml:space="preserve">-    </v>
      </c>
      <c r="M10" s="457"/>
      <c r="Q10" s="467"/>
      <c r="R10" s="467"/>
      <c r="S10" s="467"/>
      <c r="T10" s="467"/>
    </row>
    <row r="11" spans="1:20" s="463" customFormat="1" ht="11.25">
      <c r="A11" s="464"/>
      <c r="B11" s="445"/>
      <c r="C11" s="458" t="s">
        <v>3537</v>
      </c>
      <c r="D11" s="190" t="s">
        <v>3538</v>
      </c>
      <c r="E11" s="445"/>
      <c r="F11" s="465"/>
      <c r="G11" s="460"/>
      <c r="H11" s="460"/>
      <c r="I11" s="466">
        <f>ROUND(+'SP Min'!D43,0)</f>
        <v>0</v>
      </c>
      <c r="J11" s="466">
        <f>ROUND(+'SP Min'!E43,0)</f>
        <v>0</v>
      </c>
      <c r="K11" s="456">
        <f t="shared" si="0"/>
        <v>0</v>
      </c>
      <c r="L11" s="462" t="str">
        <f t="shared" si="1"/>
        <v xml:space="preserve">-    </v>
      </c>
      <c r="M11" s="457"/>
      <c r="Q11" s="467"/>
      <c r="R11" s="467"/>
      <c r="S11" s="467"/>
      <c r="T11" s="467"/>
    </row>
    <row r="12" spans="1:20" s="463" customFormat="1" ht="11.25">
      <c r="A12" s="464"/>
      <c r="B12" s="445"/>
      <c r="C12" s="458" t="s">
        <v>3539</v>
      </c>
      <c r="D12" s="190" t="s">
        <v>3540</v>
      </c>
      <c r="E12" s="445"/>
      <c r="F12" s="465"/>
      <c r="G12" s="460"/>
      <c r="H12" s="460"/>
      <c r="I12" s="466">
        <f>ROUND(+'SP Min'!D44-'SP Min'!D57,0)</f>
        <v>24691</v>
      </c>
      <c r="J12" s="466">
        <f>ROUND(+'SP Min'!E44-'SP Min'!E57,0)</f>
        <v>39205</v>
      </c>
      <c r="K12" s="456">
        <f t="shared" si="0"/>
        <v>-14514</v>
      </c>
      <c r="L12" s="462">
        <f t="shared" si="1"/>
        <v>-0.37020788164774904</v>
      </c>
      <c r="M12" s="457"/>
      <c r="Q12" s="467"/>
      <c r="R12" s="467"/>
      <c r="S12" s="467"/>
      <c r="T12" s="467"/>
    </row>
    <row r="13" spans="1:20" s="452" customFormat="1" ht="11.25">
      <c r="A13" s="453"/>
      <c r="B13" s="445" t="s">
        <v>123</v>
      </c>
      <c r="C13" s="468" t="s">
        <v>3541</v>
      </c>
      <c r="D13" s="445"/>
      <c r="E13" s="445"/>
      <c r="F13" s="446"/>
      <c r="G13" s="447"/>
      <c r="H13" s="447"/>
      <c r="I13" s="455">
        <f>I14+I17+SUM(I20:I26)</f>
        <v>35892904</v>
      </c>
      <c r="J13" s="455">
        <f>J14+J17+SUM(J20:J26)</f>
        <v>32177564</v>
      </c>
      <c r="K13" s="456">
        <f t="shared" si="0"/>
        <v>3715340</v>
      </c>
      <c r="L13" s="451">
        <f t="shared" si="1"/>
        <v>0.11546368146451359</v>
      </c>
      <c r="M13" s="457"/>
      <c r="Q13" s="469"/>
      <c r="R13" s="469"/>
      <c r="S13" s="469"/>
      <c r="T13" s="469"/>
    </row>
    <row r="14" spans="1:20" s="463" customFormat="1" ht="11.25">
      <c r="A14" s="443"/>
      <c r="B14" s="445"/>
      <c r="C14" s="458" t="s">
        <v>85</v>
      </c>
      <c r="D14" s="190" t="s">
        <v>3542</v>
      </c>
      <c r="E14" s="458"/>
      <c r="F14" s="470"/>
      <c r="G14" s="460"/>
      <c r="H14" s="460"/>
      <c r="I14" s="466">
        <f>SUM(I15:I16)</f>
        <v>0</v>
      </c>
      <c r="J14" s="466">
        <f>SUM(J15:J16)</f>
        <v>0</v>
      </c>
      <c r="K14" s="456">
        <f t="shared" si="0"/>
        <v>0</v>
      </c>
      <c r="L14" s="451" t="str">
        <f t="shared" si="1"/>
        <v xml:space="preserve">-    </v>
      </c>
      <c r="M14" s="457"/>
      <c r="Q14" s="467"/>
      <c r="R14" s="467"/>
      <c r="S14" s="467"/>
      <c r="T14" s="467"/>
    </row>
    <row r="15" spans="1:20" s="477" customFormat="1" ht="11.25">
      <c r="A15" s="471"/>
      <c r="B15" s="472"/>
      <c r="C15" s="473"/>
      <c r="D15" s="473" t="s">
        <v>3543</v>
      </c>
      <c r="E15" s="474" t="s">
        <v>3544</v>
      </c>
      <c r="F15" s="475"/>
      <c r="G15" s="476"/>
      <c r="H15" s="476"/>
      <c r="I15" s="466">
        <f>ROUND(+'SP Min'!D60-'Alimentazione SP P'!I55,0)</f>
        <v>0</v>
      </c>
      <c r="J15" s="466">
        <f>ROUND(+'SP Min'!E60-'Alimentazione SP P'!J55,0)</f>
        <v>0</v>
      </c>
      <c r="K15" s="456">
        <f t="shared" si="0"/>
        <v>0</v>
      </c>
      <c r="L15" s="451" t="str">
        <f t="shared" si="1"/>
        <v xml:space="preserve">-    </v>
      </c>
      <c r="M15" s="457"/>
      <c r="Q15" s="478"/>
      <c r="R15" s="478"/>
      <c r="S15" s="478"/>
      <c r="T15" s="478"/>
    </row>
    <row r="16" spans="1:20" s="477" customFormat="1" ht="11.25">
      <c r="A16" s="471"/>
      <c r="B16" s="472"/>
      <c r="C16" s="473"/>
      <c r="D16" s="473" t="s">
        <v>3545</v>
      </c>
      <c r="E16" s="479" t="s">
        <v>3546</v>
      </c>
      <c r="F16" s="470"/>
      <c r="G16" s="476"/>
      <c r="H16" s="476"/>
      <c r="I16" s="466">
        <f>ROUND(+'SP Min'!D61-'Alimentazione SP P'!I56,0)</f>
        <v>0</v>
      </c>
      <c r="J16" s="466">
        <f>ROUND(+'SP Min'!E61-'Alimentazione SP P'!J56,0)</f>
        <v>0</v>
      </c>
      <c r="K16" s="456">
        <f t="shared" si="0"/>
        <v>0</v>
      </c>
      <c r="L16" s="451" t="str">
        <f t="shared" si="1"/>
        <v xml:space="preserve">-    </v>
      </c>
      <c r="M16" s="457"/>
      <c r="Q16" s="478"/>
      <c r="R16" s="478"/>
      <c r="S16" s="478"/>
      <c r="T16" s="478"/>
    </row>
    <row r="17" spans="1:20" s="463" customFormat="1" ht="11.25">
      <c r="A17" s="443"/>
      <c r="B17" s="445"/>
      <c r="C17" s="458" t="s">
        <v>87</v>
      </c>
      <c r="D17" s="196" t="s">
        <v>3547</v>
      </c>
      <c r="E17" s="445"/>
      <c r="F17" s="465"/>
      <c r="G17" s="460"/>
      <c r="H17" s="460"/>
      <c r="I17" s="466">
        <f>SUM(I18:I19)</f>
        <v>28198615</v>
      </c>
      <c r="J17" s="466">
        <f>SUM(J18:J19)</f>
        <v>21235225</v>
      </c>
      <c r="K17" s="456">
        <f t="shared" si="0"/>
        <v>6963390</v>
      </c>
      <c r="L17" s="462">
        <f t="shared" si="1"/>
        <v>0.32791693989585702</v>
      </c>
      <c r="M17" s="457"/>
      <c r="Q17" s="467"/>
      <c r="R17" s="467"/>
      <c r="S17" s="467"/>
      <c r="T17" s="467"/>
    </row>
    <row r="18" spans="1:20" s="463" customFormat="1" ht="11.25">
      <c r="A18" s="443"/>
      <c r="B18" s="445"/>
      <c r="C18" s="458"/>
      <c r="D18" s="473" t="s">
        <v>3543</v>
      </c>
      <c r="E18" s="474" t="s">
        <v>3548</v>
      </c>
      <c r="F18" s="470"/>
      <c r="G18" s="460"/>
      <c r="H18" s="460"/>
      <c r="I18" s="466">
        <f>ROUND('SP Min'!D63-'Alimentazione SP P'!I57,0)</f>
        <v>2226878</v>
      </c>
      <c r="J18" s="466">
        <f>ROUND('SP Min'!E63-'Alimentazione SP P'!J57,0)</f>
        <v>381593</v>
      </c>
      <c r="K18" s="456">
        <f t="shared" si="0"/>
        <v>1845285</v>
      </c>
      <c r="L18" s="462">
        <f t="shared" si="1"/>
        <v>4.8357412216681119</v>
      </c>
      <c r="M18" s="457"/>
      <c r="Q18" s="467"/>
      <c r="R18" s="467"/>
      <c r="S18" s="467"/>
      <c r="T18" s="467"/>
    </row>
    <row r="19" spans="1:20" s="463" customFormat="1" ht="11.25">
      <c r="A19" s="443"/>
      <c r="B19" s="445"/>
      <c r="C19" s="458"/>
      <c r="D19" s="473" t="s">
        <v>3545</v>
      </c>
      <c r="E19" s="474" t="s">
        <v>3549</v>
      </c>
      <c r="F19" s="190"/>
      <c r="G19" s="460"/>
      <c r="H19" s="460"/>
      <c r="I19" s="466">
        <f>+ROUND('SP Min'!D66-'Alimentazione SP P'!I58,0)</f>
        <v>25971737</v>
      </c>
      <c r="J19" s="466">
        <f>+ROUND('SP Min'!E66-'Alimentazione SP P'!J58,0)</f>
        <v>20853632</v>
      </c>
      <c r="K19" s="456">
        <f t="shared" si="0"/>
        <v>5118105</v>
      </c>
      <c r="L19" s="462">
        <f t="shared" si="1"/>
        <v>0.24542990880437518</v>
      </c>
      <c r="M19" s="457"/>
      <c r="Q19" s="467"/>
      <c r="R19" s="467"/>
      <c r="S19" s="467"/>
      <c r="T19" s="467"/>
    </row>
    <row r="20" spans="1:20" s="463" customFormat="1" ht="11.25">
      <c r="A20" s="443"/>
      <c r="B20" s="445"/>
      <c r="C20" s="458" t="s">
        <v>115</v>
      </c>
      <c r="D20" s="196" t="s">
        <v>3550</v>
      </c>
      <c r="E20" s="445"/>
      <c r="F20" s="190"/>
      <c r="G20" s="460"/>
      <c r="H20" s="460"/>
      <c r="I20" s="466">
        <f>+ROUND('SP Min'!D69-'SP Min'!D89,0)</f>
        <v>487849</v>
      </c>
      <c r="J20" s="466">
        <f>+ROUND('SP Min'!E69-'SP Min'!E89,0)</f>
        <v>114</v>
      </c>
      <c r="K20" s="456">
        <f t="shared" si="0"/>
        <v>487735</v>
      </c>
      <c r="L20" s="462">
        <f t="shared" si="1"/>
        <v>4278.3771929824561</v>
      </c>
      <c r="M20" s="457"/>
      <c r="Q20" s="467"/>
      <c r="R20" s="467"/>
      <c r="S20" s="467"/>
      <c r="T20" s="467"/>
    </row>
    <row r="21" spans="1:20" s="463" customFormat="1" ht="11.25">
      <c r="A21" s="443"/>
      <c r="B21" s="445"/>
      <c r="C21" s="458" t="s">
        <v>3537</v>
      </c>
      <c r="D21" s="480" t="s">
        <v>3551</v>
      </c>
      <c r="E21" s="445"/>
      <c r="F21" s="465"/>
      <c r="G21" s="460"/>
      <c r="H21" s="460"/>
      <c r="I21" s="466">
        <f>+ROUND('SP Min'!D72-'SP Min'!D90,0)</f>
        <v>4800853</v>
      </c>
      <c r="J21" s="466">
        <f>+ROUND('SP Min'!E72-'SP Min'!E90,0)</f>
        <v>4561514</v>
      </c>
      <c r="K21" s="456">
        <f t="shared" si="0"/>
        <v>239339</v>
      </c>
      <c r="L21" s="462">
        <f t="shared" si="1"/>
        <v>5.246920211140424E-2</v>
      </c>
      <c r="M21" s="457"/>
      <c r="Q21" s="467"/>
      <c r="R21" s="467"/>
      <c r="S21" s="467"/>
      <c r="T21" s="467"/>
    </row>
    <row r="22" spans="1:20" s="463" customFormat="1" ht="11.25">
      <c r="A22" s="443"/>
      <c r="B22" s="445"/>
      <c r="C22" s="458" t="s">
        <v>3539</v>
      </c>
      <c r="D22" s="196" t="s">
        <v>3552</v>
      </c>
      <c r="E22" s="445"/>
      <c r="F22" s="459"/>
      <c r="G22" s="460"/>
      <c r="H22" s="460"/>
      <c r="I22" s="466">
        <f>+ROUND('SP Min'!D75-'SP Min'!D91,0)</f>
        <v>353455</v>
      </c>
      <c r="J22" s="466">
        <f>+ROUND('SP Min'!E75-'SP Min'!E91,0)</f>
        <v>286498</v>
      </c>
      <c r="K22" s="456">
        <f t="shared" si="0"/>
        <v>66957</v>
      </c>
      <c r="L22" s="462">
        <f t="shared" si="1"/>
        <v>0.23370843775523739</v>
      </c>
      <c r="M22" s="457"/>
      <c r="Q22" s="467"/>
      <c r="R22" s="467"/>
      <c r="S22" s="467"/>
      <c r="T22" s="467"/>
    </row>
    <row r="23" spans="1:20" s="463" customFormat="1" ht="11.25">
      <c r="A23" s="443"/>
      <c r="B23" s="445"/>
      <c r="C23" s="458" t="s">
        <v>3553</v>
      </c>
      <c r="D23" s="196" t="s">
        <v>3554</v>
      </c>
      <c r="E23" s="445"/>
      <c r="F23" s="190"/>
      <c r="G23" s="460"/>
      <c r="H23" s="460"/>
      <c r="I23" s="466">
        <f>+ROUND('SP Min'!D78-'SP Min'!D92,0)</f>
        <v>1688</v>
      </c>
      <c r="J23" s="466">
        <f>+ROUND('SP Min'!E78-'SP Min'!E92,0)</f>
        <v>5063</v>
      </c>
      <c r="K23" s="456">
        <f t="shared" si="0"/>
        <v>-3375</v>
      </c>
      <c r="L23" s="462">
        <f t="shared" si="1"/>
        <v>-0.66660082954769895</v>
      </c>
      <c r="M23" s="457"/>
      <c r="Q23" s="467"/>
      <c r="R23" s="467"/>
      <c r="S23" s="467"/>
      <c r="T23" s="467"/>
    </row>
    <row r="24" spans="1:20" s="463" customFormat="1" ht="11.25">
      <c r="A24" s="443"/>
      <c r="B24" s="445"/>
      <c r="C24" s="458" t="s">
        <v>3555</v>
      </c>
      <c r="D24" s="196" t="s">
        <v>3556</v>
      </c>
      <c r="E24" s="445"/>
      <c r="F24" s="190"/>
      <c r="G24" s="460"/>
      <c r="H24" s="460"/>
      <c r="I24" s="466">
        <f>+ROUND('SP Min'!D81-'SP Min'!D93,0)</f>
        <v>0</v>
      </c>
      <c r="J24" s="466">
        <f>+ROUND('SP Min'!E81-'SP Min'!E93,0)</f>
        <v>0</v>
      </c>
      <c r="K24" s="456">
        <f t="shared" si="0"/>
        <v>0</v>
      </c>
      <c r="L24" s="462" t="str">
        <f t="shared" si="1"/>
        <v xml:space="preserve">-    </v>
      </c>
      <c r="M24" s="457"/>
      <c r="Q24" s="467"/>
      <c r="R24" s="467"/>
      <c r="S24" s="467"/>
      <c r="T24" s="467"/>
    </row>
    <row r="25" spans="1:20" s="463" customFormat="1" ht="11.25">
      <c r="A25" s="443"/>
      <c r="B25" s="445"/>
      <c r="C25" s="458" t="s">
        <v>3557</v>
      </c>
      <c r="D25" s="190" t="s">
        <v>3558</v>
      </c>
      <c r="E25" s="445"/>
      <c r="F25" s="465"/>
      <c r="G25" s="460"/>
      <c r="H25" s="460"/>
      <c r="I25" s="466">
        <f>+ROUND('SP Min'!D82-'SP Min'!D94,0)</f>
        <v>536142</v>
      </c>
      <c r="J25" s="466">
        <f>+ROUND('SP Min'!E82-'SP Min'!E94,0)</f>
        <v>540316</v>
      </c>
      <c r="K25" s="456">
        <f t="shared" si="0"/>
        <v>-4174</v>
      </c>
      <c r="L25" s="462">
        <f t="shared" si="1"/>
        <v>-7.7251090102828717E-3</v>
      </c>
      <c r="M25" s="457"/>
      <c r="Q25" s="467"/>
      <c r="R25" s="467"/>
      <c r="S25" s="467"/>
      <c r="T25" s="467"/>
    </row>
    <row r="26" spans="1:20" s="463" customFormat="1" ht="11.25">
      <c r="A26" s="443"/>
      <c r="B26" s="445"/>
      <c r="C26" s="458" t="s">
        <v>3559</v>
      </c>
      <c r="D26" s="190" t="s">
        <v>3560</v>
      </c>
      <c r="E26" s="445"/>
      <c r="F26" s="459"/>
      <c r="G26" s="460"/>
      <c r="H26" s="460"/>
      <c r="I26" s="466">
        <f>+ROUND('SP Min'!D85,0)</f>
        <v>1514302</v>
      </c>
      <c r="J26" s="466">
        <f>+ROUND('SP Min'!E85,0)</f>
        <v>5548834</v>
      </c>
      <c r="K26" s="456">
        <f t="shared" si="0"/>
        <v>-4034532</v>
      </c>
      <c r="L26" s="462">
        <f t="shared" si="1"/>
        <v>-0.72709545825303112</v>
      </c>
      <c r="M26" s="457"/>
      <c r="Q26" s="467"/>
      <c r="R26" s="467"/>
      <c r="S26" s="467"/>
      <c r="T26" s="467"/>
    </row>
    <row r="27" spans="1:20" s="463" customFormat="1" ht="11.25">
      <c r="A27" s="443"/>
      <c r="B27" s="445"/>
      <c r="C27" s="458"/>
      <c r="D27" s="445"/>
      <c r="E27" s="445"/>
      <c r="F27" s="196"/>
      <c r="G27" s="481" t="s">
        <v>3561</v>
      </c>
      <c r="H27" s="481" t="s">
        <v>3562</v>
      </c>
      <c r="I27" s="466"/>
      <c r="J27" s="466"/>
      <c r="K27" s="456">
        <f t="shared" si="0"/>
        <v>0</v>
      </c>
      <c r="L27" s="462" t="str">
        <f t="shared" si="1"/>
        <v xml:space="preserve">-    </v>
      </c>
      <c r="M27" s="457"/>
      <c r="Q27" s="467"/>
      <c r="R27" s="467"/>
      <c r="S27" s="467"/>
      <c r="T27" s="467"/>
    </row>
    <row r="28" spans="1:20" s="452" customFormat="1" ht="26.25" customHeight="1">
      <c r="A28" s="453"/>
      <c r="B28" s="445" t="s">
        <v>124</v>
      </c>
      <c r="C28" s="1022" t="s">
        <v>3563</v>
      </c>
      <c r="D28" s="1022"/>
      <c r="E28" s="1022"/>
      <c r="F28" s="1023"/>
      <c r="G28" s="455">
        <f t="shared" ref="G28:H28" si="2">G29+G34</f>
        <v>113631</v>
      </c>
      <c r="H28" s="455">
        <f t="shared" si="2"/>
        <v>63464</v>
      </c>
      <c r="I28" s="455">
        <f>I29+I34</f>
        <v>182095</v>
      </c>
      <c r="J28" s="455">
        <f>J29+J34</f>
        <v>182095</v>
      </c>
      <c r="K28" s="456">
        <f t="shared" si="0"/>
        <v>0</v>
      </c>
      <c r="L28" s="451">
        <f t="shared" si="1"/>
        <v>0</v>
      </c>
      <c r="M28" s="457"/>
      <c r="Q28" s="469"/>
      <c r="R28" s="469"/>
      <c r="S28" s="469"/>
      <c r="T28" s="469"/>
    </row>
    <row r="29" spans="1:20" s="463" customFormat="1" ht="11.25">
      <c r="A29" s="464"/>
      <c r="B29" s="445"/>
      <c r="C29" s="458" t="s">
        <v>85</v>
      </c>
      <c r="D29" s="482" t="s">
        <v>3564</v>
      </c>
      <c r="E29" s="465"/>
      <c r="F29" s="465"/>
      <c r="G29" s="466">
        <f t="shared" ref="G29:H29" si="3">SUM(G30:G33)</f>
        <v>113631</v>
      </c>
      <c r="H29" s="466">
        <f t="shared" si="3"/>
        <v>63464</v>
      </c>
      <c r="I29" s="466">
        <f>SUM(I30:I33)</f>
        <v>177095</v>
      </c>
      <c r="J29" s="466">
        <f>SUM(J30:J33)</f>
        <v>177095</v>
      </c>
      <c r="K29" s="456">
        <f t="shared" si="0"/>
        <v>0</v>
      </c>
      <c r="L29" s="462">
        <f t="shared" si="1"/>
        <v>0</v>
      </c>
      <c r="M29" s="457"/>
      <c r="Q29" s="467"/>
      <c r="R29" s="467"/>
      <c r="S29" s="467"/>
      <c r="T29" s="467"/>
    </row>
    <row r="30" spans="1:20" s="463" customFormat="1" ht="11.25">
      <c r="A30" s="443"/>
      <c r="B30" s="445"/>
      <c r="C30" s="445"/>
      <c r="D30" s="473" t="s">
        <v>3543</v>
      </c>
      <c r="E30" s="470" t="s">
        <v>3565</v>
      </c>
      <c r="F30" s="459"/>
      <c r="G30" s="483"/>
      <c r="H30" s="483"/>
      <c r="I30" s="466">
        <f>+ROUND('SP Min'!D97,0)</f>
        <v>0</v>
      </c>
      <c r="J30" s="466">
        <f>+ROUND('SP Min'!E97,0)</f>
        <v>0</v>
      </c>
      <c r="K30" s="456">
        <f t="shared" si="0"/>
        <v>0</v>
      </c>
      <c r="L30" s="462" t="str">
        <f t="shared" si="1"/>
        <v xml:space="preserve">-    </v>
      </c>
      <c r="M30" s="457"/>
      <c r="Q30" s="467"/>
      <c r="R30" s="467"/>
      <c r="S30" s="467"/>
      <c r="T30" s="467"/>
    </row>
    <row r="31" spans="1:20" s="463" customFormat="1" ht="11.25">
      <c r="A31" s="443"/>
      <c r="B31" s="445"/>
      <c r="C31" s="445"/>
      <c r="D31" s="473" t="s">
        <v>3545</v>
      </c>
      <c r="E31" s="470" t="s">
        <v>3566</v>
      </c>
      <c r="F31" s="470"/>
      <c r="G31" s="483"/>
      <c r="H31" s="483"/>
      <c r="I31" s="466">
        <f>+ROUND('SP Min'!D98,0)</f>
        <v>0</v>
      </c>
      <c r="J31" s="466">
        <f>+ROUND('SP Min'!E98,0)</f>
        <v>0</v>
      </c>
      <c r="K31" s="456">
        <f t="shared" si="0"/>
        <v>0</v>
      </c>
      <c r="L31" s="462" t="str">
        <f t="shared" si="1"/>
        <v xml:space="preserve">-    </v>
      </c>
      <c r="M31" s="457"/>
      <c r="Q31" s="467"/>
      <c r="R31" s="467"/>
      <c r="S31" s="467"/>
      <c r="T31" s="467"/>
    </row>
    <row r="32" spans="1:20" s="463" customFormat="1" ht="11.25">
      <c r="A32" s="443"/>
      <c r="B32" s="445"/>
      <c r="C32" s="458"/>
      <c r="D32" s="473" t="s">
        <v>3567</v>
      </c>
      <c r="E32" s="484" t="s">
        <v>3568</v>
      </c>
      <c r="F32" s="459"/>
      <c r="G32" s="483"/>
      <c r="H32" s="483"/>
      <c r="I32" s="466">
        <f>+ROUND('SP Min'!D99,0)</f>
        <v>0</v>
      </c>
      <c r="J32" s="466">
        <f>+ROUND('SP Min'!E99,0)</f>
        <v>0</v>
      </c>
      <c r="K32" s="456">
        <f t="shared" si="0"/>
        <v>0</v>
      </c>
      <c r="L32" s="462" t="str">
        <f t="shared" si="1"/>
        <v xml:space="preserve">-    </v>
      </c>
      <c r="M32" s="457"/>
      <c r="Q32" s="467"/>
      <c r="R32" s="467"/>
      <c r="S32" s="467"/>
      <c r="T32" s="467"/>
    </row>
    <row r="33" spans="1:20" s="463" customFormat="1" ht="11.25">
      <c r="A33" s="443"/>
      <c r="B33" s="445"/>
      <c r="C33" s="458"/>
      <c r="D33" s="473" t="s">
        <v>3569</v>
      </c>
      <c r="E33" s="484" t="s">
        <v>3570</v>
      </c>
      <c r="F33" s="482"/>
      <c r="G33" s="983">
        <v>113631</v>
      </c>
      <c r="H33" s="984">
        <f>177095-113631</f>
        <v>63464</v>
      </c>
      <c r="I33" s="466">
        <f>+ROUND('SP Min'!D100,0)</f>
        <v>177095</v>
      </c>
      <c r="J33" s="466">
        <f>+ROUND('SP Min'!E100,0)</f>
        <v>177095</v>
      </c>
      <c r="K33" s="456">
        <f t="shared" si="0"/>
        <v>0</v>
      </c>
      <c r="L33" s="462">
        <f t="shared" si="1"/>
        <v>0</v>
      </c>
      <c r="M33" s="457"/>
      <c r="Q33" s="467"/>
      <c r="R33" s="467"/>
      <c r="S33" s="467"/>
      <c r="T33" s="467"/>
    </row>
    <row r="34" spans="1:20" s="463" customFormat="1" ht="11.25">
      <c r="A34" s="443"/>
      <c r="B34" s="445"/>
      <c r="C34" s="458" t="s">
        <v>87</v>
      </c>
      <c r="D34" s="196" t="s">
        <v>3571</v>
      </c>
      <c r="E34" s="458"/>
      <c r="F34" s="482"/>
      <c r="G34" s="486"/>
      <c r="H34" s="460"/>
      <c r="I34" s="466">
        <f>SUM(I35:I36)</f>
        <v>5000</v>
      </c>
      <c r="J34" s="466">
        <f>SUM(J35:J36)</f>
        <v>5000</v>
      </c>
      <c r="K34" s="456">
        <f t="shared" si="0"/>
        <v>0</v>
      </c>
      <c r="L34" s="462">
        <f t="shared" si="1"/>
        <v>0</v>
      </c>
      <c r="M34" s="457"/>
      <c r="Q34" s="467"/>
      <c r="R34" s="467"/>
      <c r="S34" s="467"/>
      <c r="T34" s="467"/>
    </row>
    <row r="35" spans="1:20" s="463" customFormat="1" ht="11.25">
      <c r="A35" s="443"/>
      <c r="B35" s="445"/>
      <c r="C35" s="458"/>
      <c r="D35" s="473" t="s">
        <v>3543</v>
      </c>
      <c r="E35" s="474" t="s">
        <v>3572</v>
      </c>
      <c r="F35" s="465"/>
      <c r="G35" s="460"/>
      <c r="H35" s="460"/>
      <c r="I35" s="466">
        <f>+ROUND('SP Min'!D102,0)</f>
        <v>5000</v>
      </c>
      <c r="J35" s="466">
        <f>+ROUND('SP Min'!E102,0)</f>
        <v>5000</v>
      </c>
      <c r="K35" s="456">
        <f t="shared" si="0"/>
        <v>0</v>
      </c>
      <c r="L35" s="462">
        <f t="shared" si="1"/>
        <v>0</v>
      </c>
      <c r="M35" s="457"/>
      <c r="Q35" s="467"/>
      <c r="R35" s="467"/>
      <c r="S35" s="467"/>
      <c r="T35" s="467"/>
    </row>
    <row r="36" spans="1:20" s="463" customFormat="1" ht="11.25">
      <c r="A36" s="443"/>
      <c r="B36" s="445"/>
      <c r="C36" s="458"/>
      <c r="D36" s="473" t="s">
        <v>3545</v>
      </c>
      <c r="E36" s="474" t="s">
        <v>3573</v>
      </c>
      <c r="F36" s="190"/>
      <c r="G36" s="487"/>
      <c r="H36" s="460"/>
      <c r="I36" s="485">
        <f>+ROUND('SP Min'!D103,0)</f>
        <v>0</v>
      </c>
      <c r="J36" s="485">
        <f>+ROUND('SP Min'!E103,0)</f>
        <v>0</v>
      </c>
      <c r="K36" s="456">
        <f t="shared" si="0"/>
        <v>0</v>
      </c>
      <c r="L36" s="462" t="str">
        <f t="shared" si="1"/>
        <v xml:space="preserve">-    </v>
      </c>
      <c r="M36" s="457"/>
      <c r="Q36" s="467"/>
      <c r="R36" s="467"/>
      <c r="S36" s="467"/>
      <c r="T36" s="467"/>
    </row>
    <row r="37" spans="1:20" s="452" customFormat="1" ht="11.25">
      <c r="A37" s="1024" t="s">
        <v>3574</v>
      </c>
      <c r="B37" s="1025"/>
      <c r="C37" s="1025"/>
      <c r="D37" s="1025"/>
      <c r="E37" s="1025"/>
      <c r="F37" s="1025"/>
      <c r="G37" s="1026"/>
      <c r="H37" s="1025"/>
      <c r="I37" s="488">
        <f>I7+I13+I28</f>
        <v>36099690</v>
      </c>
      <c r="J37" s="489">
        <f>J7+J13+J28</f>
        <v>32398864</v>
      </c>
      <c r="K37" s="490">
        <f t="shared" si="0"/>
        <v>3700826</v>
      </c>
      <c r="L37" s="170">
        <f>IF(J37=0,"-    ",K37/J37)</f>
        <v>0.11422702968844833</v>
      </c>
      <c r="M37" s="457"/>
      <c r="Q37" s="469"/>
      <c r="R37" s="469"/>
      <c r="S37" s="469"/>
      <c r="T37" s="469"/>
    </row>
    <row r="38" spans="1:20" s="452" customFormat="1" ht="11.25">
      <c r="A38" s="443"/>
      <c r="B38" s="445"/>
      <c r="C38" s="445"/>
      <c r="D38" s="445"/>
      <c r="E38" s="445"/>
      <c r="F38" s="454"/>
      <c r="G38" s="447"/>
      <c r="H38" s="447"/>
      <c r="I38" s="491"/>
      <c r="J38" s="491"/>
      <c r="K38" s="492"/>
      <c r="L38" s="493"/>
      <c r="M38" s="457"/>
      <c r="Q38" s="469"/>
      <c r="R38" s="469"/>
      <c r="S38" s="469"/>
      <c r="T38" s="469"/>
    </row>
    <row r="39" spans="1:20" s="452" customFormat="1" ht="11.25">
      <c r="A39" s="494" t="s">
        <v>32</v>
      </c>
      <c r="B39" s="495" t="s">
        <v>3575</v>
      </c>
      <c r="C39" s="496"/>
      <c r="D39" s="496"/>
      <c r="E39" s="496"/>
      <c r="F39" s="446"/>
      <c r="G39" s="447"/>
      <c r="H39" s="447"/>
      <c r="I39" s="455"/>
      <c r="J39" s="449"/>
      <c r="K39" s="450"/>
      <c r="L39" s="451"/>
      <c r="M39" s="457"/>
      <c r="Q39" s="469"/>
      <c r="R39" s="469"/>
      <c r="S39" s="469"/>
      <c r="T39" s="469"/>
    </row>
    <row r="40" spans="1:20" s="452" customFormat="1" ht="11.25">
      <c r="A40" s="494"/>
      <c r="B40" s="496" t="s">
        <v>122</v>
      </c>
      <c r="C40" s="497" t="s">
        <v>3576</v>
      </c>
      <c r="D40" s="496"/>
      <c r="E40" s="496"/>
      <c r="F40" s="454"/>
      <c r="G40" s="447"/>
      <c r="H40" s="447"/>
      <c r="I40" s="455">
        <f>SUM(I41:I44)</f>
        <v>1315657</v>
      </c>
      <c r="J40" s="455">
        <f>SUM(J41:J44)</f>
        <v>1542857</v>
      </c>
      <c r="K40" s="456">
        <f>+I40-J40</f>
        <v>-227200</v>
      </c>
      <c r="L40" s="451">
        <f t="shared" ref="L40:L98" si="4">IF(J40=0,"-    ",K40/J40)</f>
        <v>-0.14725927289437712</v>
      </c>
      <c r="M40" s="457"/>
      <c r="Q40" s="469"/>
      <c r="R40" s="469"/>
      <c r="S40" s="469"/>
      <c r="T40" s="469"/>
    </row>
    <row r="41" spans="1:20" s="463" customFormat="1" ht="11.25">
      <c r="A41" s="494"/>
      <c r="B41" s="496"/>
      <c r="C41" s="498" t="s">
        <v>85</v>
      </c>
      <c r="D41" s="498" t="s">
        <v>3577</v>
      </c>
      <c r="E41" s="496"/>
      <c r="F41" s="465"/>
      <c r="G41" s="460"/>
      <c r="H41" s="460"/>
      <c r="I41" s="466">
        <f>+ROUND('SP Min'!D110-'SP Min'!D119,0)</f>
        <v>1178726</v>
      </c>
      <c r="J41" s="466">
        <f>+ROUND('SP Min'!E110-'SP Min'!E119,0)</f>
        <v>1425836</v>
      </c>
      <c r="K41" s="456">
        <f t="shared" ref="K41:K90" si="5">+I41-J41</f>
        <v>-247110</v>
      </c>
      <c r="L41" s="462">
        <f t="shared" si="4"/>
        <v>-0.17330885178940636</v>
      </c>
      <c r="M41" s="457"/>
      <c r="Q41" s="467"/>
      <c r="R41" s="467"/>
      <c r="S41" s="467"/>
      <c r="T41" s="467"/>
    </row>
    <row r="42" spans="1:20" s="463" customFormat="1" ht="11.25">
      <c r="A42" s="494"/>
      <c r="B42" s="496"/>
      <c r="C42" s="498" t="s">
        <v>87</v>
      </c>
      <c r="D42" s="498" t="s">
        <v>3578</v>
      </c>
      <c r="E42" s="496"/>
      <c r="F42" s="190"/>
      <c r="G42" s="460"/>
      <c r="H42" s="460"/>
      <c r="I42" s="466">
        <f>+ROUND('SP Min'!D120-'SP Min'!D127,0)</f>
        <v>136931</v>
      </c>
      <c r="J42" s="466">
        <f>+ROUND('SP Min'!E120-'SP Min'!E127,0)</f>
        <v>117021</v>
      </c>
      <c r="K42" s="456">
        <f t="shared" si="5"/>
        <v>19910</v>
      </c>
      <c r="L42" s="462">
        <f t="shared" si="4"/>
        <v>0.17014040215004145</v>
      </c>
      <c r="M42" s="457"/>
      <c r="Q42" s="467"/>
      <c r="R42" s="467"/>
      <c r="S42" s="467"/>
      <c r="T42" s="467"/>
    </row>
    <row r="43" spans="1:20" s="463" customFormat="1" ht="11.25">
      <c r="A43" s="494"/>
      <c r="B43" s="496"/>
      <c r="C43" s="498" t="s">
        <v>115</v>
      </c>
      <c r="D43" s="498" t="s">
        <v>3579</v>
      </c>
      <c r="E43" s="496"/>
      <c r="F43" s="499"/>
      <c r="G43" s="460"/>
      <c r="H43" s="460"/>
      <c r="I43" s="466">
        <f>+ROUND('SP Min'!D119,0)</f>
        <v>0</v>
      </c>
      <c r="J43" s="466">
        <f>+ROUND('SP Min'!E119,0)</f>
        <v>0</v>
      </c>
      <c r="K43" s="456">
        <f t="shared" si="5"/>
        <v>0</v>
      </c>
      <c r="L43" s="462" t="str">
        <f t="shared" si="4"/>
        <v xml:space="preserve">-    </v>
      </c>
      <c r="M43" s="457"/>
      <c r="Q43" s="467"/>
      <c r="R43" s="467"/>
      <c r="S43" s="467"/>
      <c r="T43" s="467"/>
    </row>
    <row r="44" spans="1:20" s="463" customFormat="1" ht="11.25">
      <c r="A44" s="494"/>
      <c r="B44" s="496"/>
      <c r="C44" s="498" t="s">
        <v>3537</v>
      </c>
      <c r="D44" s="498" t="s">
        <v>3580</v>
      </c>
      <c r="E44" s="496"/>
      <c r="F44" s="190"/>
      <c r="G44" s="460"/>
      <c r="H44" s="460"/>
      <c r="I44" s="466">
        <f>+ROUND('SP Min'!D127,0)</f>
        <v>0</v>
      </c>
      <c r="J44" s="466">
        <f>+ROUND('SP Min'!E127,0)</f>
        <v>0</v>
      </c>
      <c r="K44" s="456">
        <f t="shared" si="5"/>
        <v>0</v>
      </c>
      <c r="L44" s="462" t="str">
        <f t="shared" si="4"/>
        <v xml:space="preserve">-    </v>
      </c>
      <c r="M44" s="457"/>
      <c r="Q44" s="467"/>
      <c r="R44" s="467"/>
      <c r="S44" s="467"/>
      <c r="T44" s="467"/>
    </row>
    <row r="45" spans="1:20" s="463" customFormat="1" ht="11.25">
      <c r="A45" s="494"/>
      <c r="B45" s="496"/>
      <c r="C45" s="496"/>
      <c r="D45" s="496"/>
      <c r="E45" s="496"/>
      <c r="F45" s="190"/>
      <c r="G45" s="481" t="s">
        <v>3561</v>
      </c>
      <c r="H45" s="481" t="s">
        <v>3562</v>
      </c>
      <c r="I45" s="466"/>
      <c r="J45" s="466"/>
      <c r="K45" s="456">
        <f t="shared" si="5"/>
        <v>0</v>
      </c>
      <c r="L45" s="462" t="str">
        <f t="shared" si="4"/>
        <v xml:space="preserve">-    </v>
      </c>
      <c r="M45" s="457"/>
      <c r="Q45" s="467"/>
      <c r="R45" s="467"/>
      <c r="S45" s="467"/>
      <c r="T45" s="467"/>
    </row>
    <row r="46" spans="1:20" s="452" customFormat="1" ht="25.5" customHeight="1">
      <c r="A46" s="453"/>
      <c r="B46" s="445" t="s">
        <v>123</v>
      </c>
      <c r="C46" s="1022" t="s">
        <v>3581</v>
      </c>
      <c r="D46" s="1022"/>
      <c r="E46" s="1022"/>
      <c r="F46" s="1023"/>
      <c r="G46" s="953">
        <f>G47+G58+G71+G72+G75+G76+G77</f>
        <v>12889717</v>
      </c>
      <c r="H46" s="953">
        <f>H47+H58+H71+H72+H75+H76+H77</f>
        <v>24301563</v>
      </c>
      <c r="I46" s="455">
        <f>I47+I58+I71+I72+I75+I76+I77</f>
        <v>37191280</v>
      </c>
      <c r="J46" s="455">
        <f>J47+J58+J71+J72+J75+J76+J77</f>
        <v>38588035</v>
      </c>
      <c r="K46" s="456">
        <f t="shared" si="5"/>
        <v>-1396755</v>
      </c>
      <c r="L46" s="451">
        <f t="shared" si="4"/>
        <v>-3.619658269720135E-2</v>
      </c>
      <c r="M46" s="457"/>
      <c r="Q46" s="469"/>
      <c r="R46" s="469"/>
      <c r="S46" s="469"/>
      <c r="T46" s="469"/>
    </row>
    <row r="47" spans="1:20" s="463" customFormat="1" ht="11.25">
      <c r="A47" s="464"/>
      <c r="B47" s="496"/>
      <c r="C47" s="498" t="s">
        <v>85</v>
      </c>
      <c r="D47" s="498" t="s">
        <v>3582</v>
      </c>
      <c r="E47" s="496"/>
      <c r="F47" s="500"/>
      <c r="G47" s="954">
        <f>G48+G51+G52+G57</f>
        <v>2194553</v>
      </c>
      <c r="H47" s="954">
        <f>H48+H51+H52+H57</f>
        <v>16193224</v>
      </c>
      <c r="I47" s="466">
        <f>I48+I51+I52+I57</f>
        <v>18387777</v>
      </c>
      <c r="J47" s="466">
        <f>J48+J51+J52+J57</f>
        <v>20622314</v>
      </c>
      <c r="K47" s="456">
        <f t="shared" si="5"/>
        <v>-2234537</v>
      </c>
      <c r="L47" s="462">
        <f t="shared" si="4"/>
        <v>-0.10835529902221448</v>
      </c>
      <c r="M47" s="457"/>
      <c r="Q47" s="467"/>
      <c r="R47" s="467"/>
      <c r="S47" s="467"/>
      <c r="T47" s="467"/>
    </row>
    <row r="48" spans="1:20" s="463" customFormat="1" ht="11.25">
      <c r="A48" s="464"/>
      <c r="B48" s="496"/>
      <c r="C48" s="498"/>
      <c r="D48" s="501" t="s">
        <v>3543</v>
      </c>
      <c r="E48" s="501" t="s">
        <v>3583</v>
      </c>
      <c r="F48" s="500"/>
      <c r="G48" s="502">
        <f>+G49+G50</f>
        <v>774804</v>
      </c>
      <c r="H48" s="502"/>
      <c r="I48" s="466">
        <f>I49+I50</f>
        <v>774804</v>
      </c>
      <c r="J48" s="466">
        <f>J49+J50</f>
        <v>3308104</v>
      </c>
      <c r="K48" s="456">
        <f>+I48-J48</f>
        <v>-2533300</v>
      </c>
      <c r="L48" s="462">
        <f t="shared" si="4"/>
        <v>-0.76578608169513418</v>
      </c>
      <c r="M48" s="457"/>
      <c r="Q48" s="467"/>
      <c r="R48" s="467"/>
      <c r="S48" s="467"/>
      <c r="T48" s="467"/>
    </row>
    <row r="49" spans="1:20" s="463" customFormat="1" ht="11.25">
      <c r="A49" s="464"/>
      <c r="B49" s="496"/>
      <c r="C49" s="498"/>
      <c r="D49" s="498"/>
      <c r="E49" s="498" t="s">
        <v>85</v>
      </c>
      <c r="F49" s="500" t="s">
        <v>3584</v>
      </c>
      <c r="G49" s="502"/>
      <c r="H49" s="502"/>
      <c r="I49" s="466">
        <f>+ROUND('SP Min'!D130+'SP Min'!D131+'SP Min'!D132+'SP Min'!D133+'SP Min'!D134+'SP Min'!D135+'SP Min'!D137,0)</f>
        <v>0</v>
      </c>
      <c r="J49" s="466">
        <f>+ROUND('SP Min'!E130+'SP Min'!E131+'SP Min'!E132+'SP Min'!E133+'SP Min'!E134+'SP Min'!E135+'SP Min'!E137,0)</f>
        <v>2554235</v>
      </c>
      <c r="K49" s="456">
        <f t="shared" si="5"/>
        <v>-2554235</v>
      </c>
      <c r="L49" s="462">
        <f t="shared" si="4"/>
        <v>-1</v>
      </c>
      <c r="M49" s="457"/>
      <c r="Q49" s="467"/>
      <c r="R49" s="467"/>
      <c r="S49" s="467"/>
      <c r="T49" s="467"/>
    </row>
    <row r="50" spans="1:20" s="463" customFormat="1" ht="11.25">
      <c r="A50" s="464"/>
      <c r="B50" s="496"/>
      <c r="C50" s="498"/>
      <c r="D50" s="498"/>
      <c r="E50" s="498" t="s">
        <v>87</v>
      </c>
      <c r="F50" s="500" t="s">
        <v>3585</v>
      </c>
      <c r="G50" s="502">
        <v>774804</v>
      </c>
      <c r="H50" s="502"/>
      <c r="I50" s="466">
        <f>+ROUND('SP Min'!D136,0)</f>
        <v>774804</v>
      </c>
      <c r="J50" s="466">
        <f>+ROUND('SP Min'!E136,0)</f>
        <v>753869</v>
      </c>
      <c r="K50" s="456">
        <f t="shared" si="5"/>
        <v>20935</v>
      </c>
      <c r="L50" s="462">
        <f t="shared" si="4"/>
        <v>2.7770076764000111E-2</v>
      </c>
      <c r="M50" s="457"/>
      <c r="Q50" s="467"/>
      <c r="R50" s="467"/>
      <c r="S50" s="467"/>
      <c r="T50" s="467"/>
    </row>
    <row r="51" spans="1:20" s="463" customFormat="1" ht="11.25">
      <c r="A51" s="464"/>
      <c r="B51" s="496"/>
      <c r="C51" s="498"/>
      <c r="D51" s="501" t="s">
        <v>3545</v>
      </c>
      <c r="E51" s="501" t="s">
        <v>3586</v>
      </c>
      <c r="F51" s="500"/>
      <c r="G51" s="502"/>
      <c r="H51" s="502">
        <v>15901209</v>
      </c>
      <c r="I51" s="466">
        <f>+ROUND('SP Min'!D138,0)</f>
        <v>15901209</v>
      </c>
      <c r="J51" s="466">
        <f>+ROUND('SP Min'!E138,0)</f>
        <v>15930649</v>
      </c>
      <c r="K51" s="456">
        <f t="shared" si="5"/>
        <v>-29440</v>
      </c>
      <c r="L51" s="462">
        <f t="shared" si="4"/>
        <v>-1.8480100842093753E-3</v>
      </c>
      <c r="M51" s="457"/>
      <c r="Q51" s="467"/>
      <c r="R51" s="467"/>
      <c r="S51" s="467"/>
      <c r="T51" s="467"/>
    </row>
    <row r="52" spans="1:20" s="463" customFormat="1" ht="11.25">
      <c r="A52" s="464"/>
      <c r="B52" s="496"/>
      <c r="C52" s="498"/>
      <c r="D52" s="501" t="s">
        <v>3567</v>
      </c>
      <c r="E52" s="501" t="s">
        <v>3587</v>
      </c>
      <c r="F52" s="500"/>
      <c r="G52" s="954">
        <f>G53+G54+G55+G56</f>
        <v>1417516</v>
      </c>
      <c r="H52" s="954">
        <f>H53+H54+H55+H56</f>
        <v>292015</v>
      </c>
      <c r="I52" s="466">
        <f>I53+I54+I55+I56</f>
        <v>1709531</v>
      </c>
      <c r="J52" s="466">
        <f>J53+J54+J55+J56</f>
        <v>1382464</v>
      </c>
      <c r="K52" s="456">
        <f t="shared" si="5"/>
        <v>327067</v>
      </c>
      <c r="L52" s="462">
        <f t="shared" si="4"/>
        <v>0.23658265242349891</v>
      </c>
      <c r="M52" s="457"/>
      <c r="Q52" s="467"/>
      <c r="R52" s="467"/>
      <c r="S52" s="467"/>
      <c r="T52" s="467"/>
    </row>
    <row r="53" spans="1:20" s="463" customFormat="1" ht="11.25">
      <c r="A53" s="464"/>
      <c r="B53" s="496"/>
      <c r="C53" s="498"/>
      <c r="D53" s="498"/>
      <c r="E53" s="498" t="s">
        <v>85</v>
      </c>
      <c r="F53" s="500" t="s">
        <v>3588</v>
      </c>
      <c r="G53" s="502"/>
      <c r="H53" s="502"/>
      <c r="I53" s="466">
        <f>+ROUND('SP Min'!D140,0)</f>
        <v>0</v>
      </c>
      <c r="J53" s="466">
        <f>+ROUND('SP Min'!E140,0)</f>
        <v>0</v>
      </c>
      <c r="K53" s="456">
        <f t="shared" si="5"/>
        <v>0</v>
      </c>
      <c r="L53" s="462" t="str">
        <f t="shared" si="4"/>
        <v xml:space="preserve">-    </v>
      </c>
      <c r="M53" s="457"/>
      <c r="Q53" s="467"/>
      <c r="R53" s="467"/>
      <c r="S53" s="467"/>
      <c r="T53" s="467"/>
    </row>
    <row r="54" spans="1:20" s="463" customFormat="1" ht="11.25">
      <c r="A54" s="464"/>
      <c r="B54" s="496"/>
      <c r="C54" s="498"/>
      <c r="D54" s="498"/>
      <c r="E54" s="498" t="s">
        <v>87</v>
      </c>
      <c r="F54" s="500" t="s">
        <v>3589</v>
      </c>
      <c r="G54" s="502">
        <v>752673</v>
      </c>
      <c r="H54" s="502">
        <v>292015</v>
      </c>
      <c r="I54" s="466">
        <f>+ROUND('SP Min'!D141,0)</f>
        <v>1044688</v>
      </c>
      <c r="J54" s="466">
        <f>+ROUND('SP Min'!E141,0)</f>
        <v>1382464</v>
      </c>
      <c r="K54" s="456">
        <f t="shared" si="5"/>
        <v>-337776</v>
      </c>
      <c r="L54" s="462">
        <f t="shared" si="4"/>
        <v>-0.24432896625156242</v>
      </c>
      <c r="M54" s="457"/>
      <c r="Q54" s="467"/>
      <c r="R54" s="467"/>
      <c r="S54" s="467"/>
      <c r="T54" s="467"/>
    </row>
    <row r="55" spans="1:20" s="463" customFormat="1" ht="11.25">
      <c r="A55" s="464"/>
      <c r="B55" s="496"/>
      <c r="C55" s="498"/>
      <c r="D55" s="498"/>
      <c r="E55" s="498" t="s">
        <v>115</v>
      </c>
      <c r="F55" s="500" t="s">
        <v>3590</v>
      </c>
      <c r="G55" s="502"/>
      <c r="H55" s="502"/>
      <c r="I55" s="466">
        <f>+ROUND('SP Min'!D142,0)</f>
        <v>0</v>
      </c>
      <c r="J55" s="466">
        <f>+ROUND('SP Min'!E142,0)</f>
        <v>0</v>
      </c>
      <c r="K55" s="456">
        <f t="shared" si="5"/>
        <v>0</v>
      </c>
      <c r="L55" s="462" t="str">
        <f t="shared" si="4"/>
        <v xml:space="preserve">-    </v>
      </c>
      <c r="M55" s="457"/>
      <c r="Q55" s="467"/>
      <c r="R55" s="467"/>
      <c r="S55" s="467"/>
      <c r="T55" s="467"/>
    </row>
    <row r="56" spans="1:20" s="463" customFormat="1" ht="11.25">
      <c r="A56" s="464"/>
      <c r="B56" s="496"/>
      <c r="C56" s="498"/>
      <c r="D56" s="498"/>
      <c r="E56" s="498" t="s">
        <v>3537</v>
      </c>
      <c r="F56" s="500" t="s">
        <v>3591</v>
      </c>
      <c r="G56" s="502">
        <v>664843</v>
      </c>
      <c r="H56" s="502"/>
      <c r="I56" s="466">
        <f>+ROUND('SP Min'!D143,0)</f>
        <v>664843</v>
      </c>
      <c r="J56" s="466">
        <f>+ROUND('SP Min'!E143,0)</f>
        <v>0</v>
      </c>
      <c r="K56" s="456">
        <f t="shared" si="5"/>
        <v>664843</v>
      </c>
      <c r="L56" s="462" t="str">
        <f t="shared" si="4"/>
        <v xml:space="preserve">-    </v>
      </c>
      <c r="M56" s="457"/>
      <c r="Q56" s="467"/>
      <c r="R56" s="467"/>
      <c r="S56" s="467"/>
      <c r="T56" s="467"/>
    </row>
    <row r="57" spans="1:20" s="463" customFormat="1" ht="11.25">
      <c r="A57" s="464"/>
      <c r="B57" s="498"/>
      <c r="C57" s="498"/>
      <c r="D57" s="501" t="s">
        <v>3569</v>
      </c>
      <c r="E57" s="501" t="s">
        <v>3592</v>
      </c>
      <c r="F57" s="503"/>
      <c r="G57" s="502">
        <v>2233</v>
      </c>
      <c r="H57" s="502"/>
      <c r="I57" s="466">
        <f>+ROUND('SP Min'!D144,0)</f>
        <v>2233</v>
      </c>
      <c r="J57" s="466">
        <f>+ROUND('SP Min'!E144,0)</f>
        <v>1097</v>
      </c>
      <c r="K57" s="456">
        <f t="shared" si="5"/>
        <v>1136</v>
      </c>
      <c r="L57" s="462">
        <f t="shared" si="4"/>
        <v>1.0355515041020966</v>
      </c>
      <c r="M57" s="457"/>
      <c r="Q57" s="467"/>
      <c r="R57" s="467"/>
      <c r="S57" s="467"/>
      <c r="T57" s="467"/>
    </row>
    <row r="58" spans="1:20" s="463" customFormat="1" ht="11.25">
      <c r="A58" s="464"/>
      <c r="B58" s="498"/>
      <c r="C58" s="498" t="s">
        <v>87</v>
      </c>
      <c r="D58" s="498" t="s">
        <v>3593</v>
      </c>
      <c r="E58" s="498"/>
      <c r="F58" s="500"/>
      <c r="G58" s="954">
        <f>G59+G66</f>
        <v>1392064</v>
      </c>
      <c r="H58" s="954">
        <f>H59+H66</f>
        <v>7432306</v>
      </c>
      <c r="I58" s="466">
        <f>I59+I66</f>
        <v>8824370</v>
      </c>
      <c r="J58" s="466">
        <f>J59+J66</f>
        <v>6671951</v>
      </c>
      <c r="K58" s="456">
        <f t="shared" si="5"/>
        <v>2152419</v>
      </c>
      <c r="L58" s="462">
        <f t="shared" si="4"/>
        <v>0.32260713545408232</v>
      </c>
      <c r="M58" s="457"/>
      <c r="Q58" s="467"/>
      <c r="R58" s="467"/>
      <c r="S58" s="467"/>
      <c r="T58" s="467"/>
    </row>
    <row r="59" spans="1:20" s="463" customFormat="1" ht="11.25">
      <c r="A59" s="464"/>
      <c r="B59" s="498"/>
      <c r="C59" s="498"/>
      <c r="D59" s="501" t="s">
        <v>3543</v>
      </c>
      <c r="E59" s="501" t="s">
        <v>3594</v>
      </c>
      <c r="F59" s="503"/>
      <c r="G59" s="954">
        <f>G60+G65</f>
        <v>1184689</v>
      </c>
      <c r="H59" s="954">
        <f>H60+H65</f>
        <v>526805</v>
      </c>
      <c r="I59" s="466">
        <f>I60+I65</f>
        <v>1711494</v>
      </c>
      <c r="J59" s="466">
        <f>J60+J65</f>
        <v>1011515</v>
      </c>
      <c r="K59" s="456">
        <f t="shared" si="5"/>
        <v>699979</v>
      </c>
      <c r="L59" s="462">
        <f t="shared" si="4"/>
        <v>0.69201049910283086</v>
      </c>
      <c r="M59" s="457"/>
      <c r="Q59" s="467"/>
      <c r="R59" s="467"/>
      <c r="S59" s="467"/>
      <c r="T59" s="467"/>
    </row>
    <row r="60" spans="1:20" s="463" customFormat="1" ht="11.25">
      <c r="A60" s="464"/>
      <c r="B60" s="498"/>
      <c r="C60" s="498"/>
      <c r="D60" s="498"/>
      <c r="E60" s="498" t="s">
        <v>85</v>
      </c>
      <c r="F60" s="503" t="s">
        <v>3595</v>
      </c>
      <c r="G60" s="954">
        <f>G61+G62+G63+G64</f>
        <v>1041301</v>
      </c>
      <c r="H60" s="954">
        <f>H61+H62+H63+H64</f>
        <v>526805</v>
      </c>
      <c r="I60" s="466">
        <f>I61+I62+I63+I64</f>
        <v>1568106</v>
      </c>
      <c r="J60" s="466">
        <f>J61+J62+J63+J64</f>
        <v>766938</v>
      </c>
      <c r="K60" s="456">
        <f t="shared" si="5"/>
        <v>801168</v>
      </c>
      <c r="L60" s="462">
        <f t="shared" si="4"/>
        <v>1.0446320302293015</v>
      </c>
      <c r="M60" s="457"/>
      <c r="Q60" s="467"/>
      <c r="R60" s="467"/>
      <c r="S60" s="467"/>
      <c r="T60" s="467"/>
    </row>
    <row r="61" spans="1:20" s="463" customFormat="1" ht="22.5">
      <c r="A61" s="464"/>
      <c r="B61" s="498"/>
      <c r="C61" s="498"/>
      <c r="D61" s="498"/>
      <c r="E61" s="498"/>
      <c r="F61" s="504" t="s">
        <v>3596</v>
      </c>
      <c r="G61" s="502">
        <v>260481</v>
      </c>
      <c r="H61" s="502">
        <v>526805</v>
      </c>
      <c r="I61" s="466">
        <f>+ROUND('SP Min'!D147+'SP Min'!D148+'SP Min'!D149+'SP Min'!D150+'SP Min'!D154+'SP Min'!D156,0)</f>
        <v>787286</v>
      </c>
      <c r="J61" s="466">
        <f>+ROUND('SP Min'!E147+'SP Min'!E148+'SP Min'!E149+'SP Min'!E150+'SP Min'!E154+'SP Min'!E156,0)</f>
        <v>526805</v>
      </c>
      <c r="K61" s="456">
        <f t="shared" si="5"/>
        <v>260481</v>
      </c>
      <c r="L61" s="462">
        <f t="shared" si="4"/>
        <v>0.49445430472375929</v>
      </c>
      <c r="M61" s="457"/>
      <c r="Q61" s="467"/>
      <c r="R61" s="467"/>
      <c r="S61" s="467"/>
      <c r="T61" s="467"/>
    </row>
    <row r="62" spans="1:20" s="463" customFormat="1" ht="22.5">
      <c r="A62" s="464"/>
      <c r="B62" s="498"/>
      <c r="C62" s="498"/>
      <c r="D62" s="498"/>
      <c r="E62" s="498"/>
      <c r="F62" s="504" t="s">
        <v>3597</v>
      </c>
      <c r="G62" s="502"/>
      <c r="H62" s="502"/>
      <c r="I62" s="466">
        <f>+ROUND('SP Min'!D151,0)</f>
        <v>0</v>
      </c>
      <c r="J62" s="466">
        <f>+ROUND('SP Min'!E151,0)</f>
        <v>0</v>
      </c>
      <c r="K62" s="456">
        <f t="shared" si="5"/>
        <v>0</v>
      </c>
      <c r="L62" s="462" t="str">
        <f t="shared" si="4"/>
        <v xml:space="preserve">-    </v>
      </c>
      <c r="M62" s="457"/>
      <c r="Q62" s="467"/>
      <c r="R62" s="467"/>
      <c r="S62" s="467"/>
      <c r="T62" s="467"/>
    </row>
    <row r="63" spans="1:20" s="463" customFormat="1" ht="22.5">
      <c r="A63" s="464"/>
      <c r="B63" s="498"/>
      <c r="C63" s="498"/>
      <c r="D63" s="498"/>
      <c r="E63" s="498"/>
      <c r="F63" s="504" t="s">
        <v>3598</v>
      </c>
      <c r="G63" s="502"/>
      <c r="H63" s="502"/>
      <c r="I63" s="466">
        <f>+ROUND('SP Min'!D152,0)</f>
        <v>0</v>
      </c>
      <c r="J63" s="466">
        <f>+ROUND('SP Min'!E152,0)</f>
        <v>0</v>
      </c>
      <c r="K63" s="456">
        <f t="shared" si="5"/>
        <v>0</v>
      </c>
      <c r="L63" s="462" t="str">
        <f t="shared" si="4"/>
        <v xml:space="preserve">-    </v>
      </c>
      <c r="M63" s="457"/>
      <c r="Q63" s="467"/>
      <c r="R63" s="467"/>
      <c r="S63" s="467"/>
      <c r="T63" s="467"/>
    </row>
    <row r="64" spans="1:20" s="463" customFormat="1" ht="22.5">
      <c r="A64" s="464"/>
      <c r="B64" s="498"/>
      <c r="C64" s="498"/>
      <c r="D64" s="498"/>
      <c r="E64" s="498"/>
      <c r="F64" s="504" t="s">
        <v>3599</v>
      </c>
      <c r="G64" s="502">
        <v>780820</v>
      </c>
      <c r="H64" s="955"/>
      <c r="I64" s="466">
        <f>+ROUND('SP Min'!D153,0)</f>
        <v>780820</v>
      </c>
      <c r="J64" s="466">
        <f>+ROUND('SP Min'!E153,0)</f>
        <v>240133</v>
      </c>
      <c r="K64" s="456">
        <f t="shared" si="5"/>
        <v>540687</v>
      </c>
      <c r="L64" s="462">
        <f t="shared" si="4"/>
        <v>2.2516147301703637</v>
      </c>
      <c r="M64" s="457"/>
      <c r="Q64" s="467"/>
      <c r="R64" s="467"/>
      <c r="S64" s="467"/>
      <c r="T64" s="467"/>
    </row>
    <row r="65" spans="1:20" s="463" customFormat="1" ht="11.25">
      <c r="A65" s="464"/>
      <c r="B65" s="498"/>
      <c r="C65" s="498"/>
      <c r="D65" s="498"/>
      <c r="E65" s="498" t="s">
        <v>87</v>
      </c>
      <c r="F65" s="498" t="s">
        <v>3600</v>
      </c>
      <c r="G65" s="502">
        <v>143388</v>
      </c>
      <c r="H65" s="955"/>
      <c r="I65" s="466">
        <f>+ROUND('SP Min'!D155,0)</f>
        <v>143388</v>
      </c>
      <c r="J65" s="466">
        <f>+ROUND('SP Min'!E155,0)</f>
        <v>244577</v>
      </c>
      <c r="K65" s="456">
        <f t="shared" si="5"/>
        <v>-101189</v>
      </c>
      <c r="L65" s="462">
        <f t="shared" si="4"/>
        <v>-0.41373064515469565</v>
      </c>
      <c r="M65" s="457"/>
      <c r="Q65" s="467"/>
      <c r="R65" s="467"/>
      <c r="S65" s="467"/>
      <c r="T65" s="467"/>
    </row>
    <row r="66" spans="1:20" s="463" customFormat="1" ht="11.25">
      <c r="A66" s="464"/>
      <c r="B66" s="498"/>
      <c r="C66" s="498"/>
      <c r="D66" s="501" t="s">
        <v>3545</v>
      </c>
      <c r="E66" s="501" t="s">
        <v>3601</v>
      </c>
      <c r="F66" s="503"/>
      <c r="G66" s="954">
        <f>G67+G68+G69+G70</f>
        <v>207375</v>
      </c>
      <c r="H66" s="954">
        <f>H67+H68+H69+H70</f>
        <v>6905501</v>
      </c>
      <c r="I66" s="466">
        <f>I67+I68+I69+I70</f>
        <v>7112876</v>
      </c>
      <c r="J66" s="466">
        <f>J67+J68+J69+J70</f>
        <v>5660436</v>
      </c>
      <c r="K66" s="456">
        <f t="shared" si="5"/>
        <v>1452440</v>
      </c>
      <c r="L66" s="462">
        <f t="shared" si="4"/>
        <v>0.25659507500835627</v>
      </c>
      <c r="M66" s="457"/>
      <c r="Q66" s="467"/>
      <c r="R66" s="467"/>
      <c r="S66" s="467"/>
      <c r="T66" s="467"/>
    </row>
    <row r="67" spans="1:20" s="463" customFormat="1" ht="11.25">
      <c r="A67" s="464"/>
      <c r="B67" s="498"/>
      <c r="C67" s="498"/>
      <c r="D67" s="498"/>
      <c r="E67" s="498" t="s">
        <v>85</v>
      </c>
      <c r="F67" s="503" t="s">
        <v>3602</v>
      </c>
      <c r="G67" s="502">
        <v>207375</v>
      </c>
      <c r="H67" s="955">
        <v>6905501</v>
      </c>
      <c r="I67" s="466">
        <f>+ROUND('SP Min'!D158,0)</f>
        <v>7112876</v>
      </c>
      <c r="J67" s="466">
        <f>+ROUND('SP Min'!E158,0)</f>
        <v>5660436</v>
      </c>
      <c r="K67" s="456">
        <f t="shared" si="5"/>
        <v>1452440</v>
      </c>
      <c r="L67" s="462">
        <f t="shared" si="4"/>
        <v>0.25659507500835627</v>
      </c>
      <c r="M67" s="457"/>
      <c r="Q67" s="467"/>
      <c r="R67" s="467"/>
      <c r="S67" s="467"/>
      <c r="T67" s="467"/>
    </row>
    <row r="68" spans="1:20" s="463" customFormat="1" ht="11.25">
      <c r="A68" s="464"/>
      <c r="B68" s="498"/>
      <c r="C68" s="498"/>
      <c r="D68" s="498"/>
      <c r="E68" s="498" t="s">
        <v>87</v>
      </c>
      <c r="F68" s="503" t="s">
        <v>3603</v>
      </c>
      <c r="G68" s="502"/>
      <c r="H68" s="955"/>
      <c r="I68" s="466">
        <f>+ROUND('SP Min'!D159,0)</f>
        <v>0</v>
      </c>
      <c r="J68" s="466">
        <f>+ROUND('SP Min'!E159,0)</f>
        <v>0</v>
      </c>
      <c r="K68" s="456">
        <f t="shared" si="5"/>
        <v>0</v>
      </c>
      <c r="L68" s="462" t="str">
        <f t="shared" si="4"/>
        <v xml:space="preserve">-    </v>
      </c>
      <c r="M68" s="457"/>
      <c r="Q68" s="467"/>
      <c r="R68" s="467"/>
      <c r="S68" s="467"/>
      <c r="T68" s="467"/>
    </row>
    <row r="69" spans="1:20" s="463" customFormat="1" ht="11.25">
      <c r="A69" s="464"/>
      <c r="B69" s="498"/>
      <c r="C69" s="498"/>
      <c r="D69" s="498"/>
      <c r="E69" s="498" t="s">
        <v>115</v>
      </c>
      <c r="F69" s="503" t="s">
        <v>3604</v>
      </c>
      <c r="G69" s="502"/>
      <c r="H69" s="955"/>
      <c r="I69" s="466">
        <f>+ROUND('SP Min'!D160+'SP Min'!D161+'SP Min'!D164+'SP Min'!D165+'SP Min'!D163,0)</f>
        <v>0</v>
      </c>
      <c r="J69" s="466">
        <f>+ROUND('SP Min'!E160+'SP Min'!E161+'SP Min'!E164+'SP Min'!E165+'SP Min'!E163,0)</f>
        <v>0</v>
      </c>
      <c r="K69" s="456">
        <f t="shared" si="5"/>
        <v>0</v>
      </c>
      <c r="L69" s="462" t="str">
        <f t="shared" si="4"/>
        <v xml:space="preserve">-    </v>
      </c>
      <c r="M69" s="457"/>
      <c r="Q69" s="467"/>
      <c r="R69" s="467"/>
      <c r="S69" s="467"/>
      <c r="T69" s="467"/>
    </row>
    <row r="70" spans="1:20" s="463" customFormat="1" ht="22.5">
      <c r="A70" s="464"/>
      <c r="B70" s="496"/>
      <c r="C70" s="498"/>
      <c r="D70" s="496"/>
      <c r="E70" s="498" t="s">
        <v>3537</v>
      </c>
      <c r="F70" s="505" t="s">
        <v>3605</v>
      </c>
      <c r="G70" s="502"/>
      <c r="H70" s="502"/>
      <c r="I70" s="466">
        <f>+ROUND('SP Min'!D163,0)</f>
        <v>0</v>
      </c>
      <c r="J70" s="466">
        <f>+ROUND('SP Min'!E163,0)</f>
        <v>0</v>
      </c>
      <c r="K70" s="456">
        <f t="shared" si="5"/>
        <v>0</v>
      </c>
      <c r="L70" s="462" t="str">
        <f t="shared" si="4"/>
        <v xml:space="preserve">-    </v>
      </c>
      <c r="M70" s="457"/>
      <c r="Q70" s="467"/>
      <c r="R70" s="467"/>
      <c r="S70" s="467"/>
      <c r="T70" s="467"/>
    </row>
    <row r="71" spans="1:20" s="463" customFormat="1" ht="11.25">
      <c r="A71" s="464"/>
      <c r="B71" s="496"/>
      <c r="C71" s="498" t="s">
        <v>115</v>
      </c>
      <c r="D71" s="498" t="s">
        <v>3606</v>
      </c>
      <c r="E71" s="465"/>
      <c r="F71" s="503"/>
      <c r="G71" s="502"/>
      <c r="H71" s="502"/>
      <c r="I71" s="466">
        <f>+ROUND('SP Min'!D166,0)</f>
        <v>0</v>
      </c>
      <c r="J71" s="466">
        <f>+ROUND('SP Min'!E166,0)</f>
        <v>0</v>
      </c>
      <c r="K71" s="456">
        <f t="shared" si="5"/>
        <v>0</v>
      </c>
      <c r="L71" s="462" t="str">
        <f t="shared" si="4"/>
        <v xml:space="preserve">-    </v>
      </c>
      <c r="M71" s="457"/>
      <c r="Q71" s="467"/>
      <c r="R71" s="467"/>
      <c r="S71" s="467"/>
      <c r="T71" s="467"/>
    </row>
    <row r="72" spans="1:20" s="463" customFormat="1" ht="11.25">
      <c r="A72" s="464"/>
      <c r="B72" s="496"/>
      <c r="C72" s="498" t="s">
        <v>3537</v>
      </c>
      <c r="D72" s="498" t="s">
        <v>3607</v>
      </c>
      <c r="E72" s="498"/>
      <c r="F72" s="503"/>
      <c r="G72" s="954">
        <f>G73+G74</f>
        <v>8441363</v>
      </c>
      <c r="H72" s="954">
        <f>H73+H74</f>
        <v>0</v>
      </c>
      <c r="I72" s="466">
        <f>I73+I74</f>
        <v>8441363</v>
      </c>
      <c r="J72" s="466">
        <f>J73+J74</f>
        <v>7788963</v>
      </c>
      <c r="K72" s="456">
        <f t="shared" si="5"/>
        <v>652400</v>
      </c>
      <c r="L72" s="462">
        <f t="shared" si="4"/>
        <v>8.375954539776348E-2</v>
      </c>
      <c r="M72" s="457"/>
      <c r="Q72" s="467"/>
      <c r="R72" s="467"/>
      <c r="S72" s="467"/>
      <c r="T72" s="467"/>
    </row>
    <row r="73" spans="1:20" s="463" customFormat="1" ht="11.25">
      <c r="A73" s="464"/>
      <c r="B73" s="496"/>
      <c r="C73" s="498"/>
      <c r="D73" s="501" t="s">
        <v>3543</v>
      </c>
      <c r="E73" s="501" t="s">
        <v>3608</v>
      </c>
      <c r="F73" s="503"/>
      <c r="G73" s="502">
        <v>7918456</v>
      </c>
      <c r="H73" s="502"/>
      <c r="I73" s="466">
        <f>+ROUND('SP Min'!D168+'SP Min'!D172+'SP Min'!D173+'SP Min'!D175,0)</f>
        <v>7918456</v>
      </c>
      <c r="J73" s="466">
        <f>+ROUND('SP Min'!E168+'SP Min'!E172+'SP Min'!E173+'SP Min'!E175,0)</f>
        <v>7095641</v>
      </c>
      <c r="K73" s="456">
        <f t="shared" si="5"/>
        <v>822815</v>
      </c>
      <c r="L73" s="462">
        <f t="shared" si="4"/>
        <v>0.11596062991349196</v>
      </c>
      <c r="M73" s="457"/>
      <c r="Q73" s="467"/>
      <c r="R73" s="467"/>
      <c r="S73" s="467"/>
      <c r="T73" s="467"/>
    </row>
    <row r="74" spans="1:20" s="463" customFormat="1" ht="11.25">
      <c r="A74" s="464"/>
      <c r="B74" s="496"/>
      <c r="C74" s="498"/>
      <c r="D74" s="501" t="s">
        <v>3545</v>
      </c>
      <c r="E74" s="501" t="s">
        <v>3609</v>
      </c>
      <c r="F74" s="503"/>
      <c r="G74" s="502">
        <v>522907</v>
      </c>
      <c r="H74" s="502"/>
      <c r="I74" s="466">
        <f>+ROUND('SP Min'!D174,0)</f>
        <v>522907</v>
      </c>
      <c r="J74" s="466">
        <f>+ROUND('SP Min'!E174,0)</f>
        <v>693322</v>
      </c>
      <c r="K74" s="456">
        <f t="shared" si="5"/>
        <v>-170415</v>
      </c>
      <c r="L74" s="462">
        <f t="shared" si="4"/>
        <v>-0.24579488318559053</v>
      </c>
      <c r="M74" s="457"/>
      <c r="Q74" s="467"/>
      <c r="R74" s="467"/>
      <c r="S74" s="467"/>
      <c r="T74" s="467"/>
    </row>
    <row r="75" spans="1:20" s="463" customFormat="1" ht="11.25">
      <c r="A75" s="464"/>
      <c r="B75" s="496"/>
      <c r="C75" s="498" t="s">
        <v>3539</v>
      </c>
      <c r="D75" s="498" t="s">
        <v>3610</v>
      </c>
      <c r="E75" s="498"/>
      <c r="F75" s="503"/>
      <c r="G75" s="502"/>
      <c r="H75" s="502"/>
      <c r="I75" s="466">
        <f>+ROUND('SP Min'!D176,0)</f>
        <v>0</v>
      </c>
      <c r="J75" s="466">
        <f>+ROUND('SP Min'!E176,0)</f>
        <v>0</v>
      </c>
      <c r="K75" s="456">
        <f t="shared" si="5"/>
        <v>0</v>
      </c>
      <c r="L75" s="462" t="str">
        <f t="shared" si="4"/>
        <v xml:space="preserve">-    </v>
      </c>
      <c r="M75" s="457"/>
      <c r="Q75" s="467"/>
      <c r="R75" s="467"/>
      <c r="S75" s="467"/>
      <c r="T75" s="467"/>
    </row>
    <row r="76" spans="1:20" s="463" customFormat="1" ht="11.25">
      <c r="A76" s="464"/>
      <c r="B76" s="496"/>
      <c r="C76" s="498" t="s">
        <v>3553</v>
      </c>
      <c r="D76" s="498" t="s">
        <v>3611</v>
      </c>
      <c r="E76" s="498"/>
      <c r="F76" s="503"/>
      <c r="G76" s="502"/>
      <c r="H76" s="502"/>
      <c r="I76" s="506">
        <f>+ROUND('SP Min'!D180,0)</f>
        <v>0</v>
      </c>
      <c r="J76" s="506">
        <f>+ROUND('SP Min'!E180,0)</f>
        <v>0</v>
      </c>
      <c r="K76" s="456">
        <f t="shared" si="5"/>
        <v>0</v>
      </c>
      <c r="L76" s="462" t="str">
        <f t="shared" si="4"/>
        <v xml:space="preserve">-    </v>
      </c>
      <c r="M76" s="457"/>
      <c r="Q76" s="467"/>
      <c r="R76" s="467"/>
      <c r="S76" s="467"/>
      <c r="T76" s="467"/>
    </row>
    <row r="77" spans="1:20" s="463" customFormat="1" ht="11.25">
      <c r="A77" s="464"/>
      <c r="B77" s="496"/>
      <c r="C77" s="498" t="s">
        <v>3555</v>
      </c>
      <c r="D77" s="498" t="s">
        <v>3612</v>
      </c>
      <c r="E77" s="498"/>
      <c r="F77" s="503"/>
      <c r="G77" s="956">
        <v>861737</v>
      </c>
      <c r="H77" s="956">
        <v>676033</v>
      </c>
      <c r="I77" s="466">
        <f>+ROUND('SP Min'!D181,0)</f>
        <v>1537770</v>
      </c>
      <c r="J77" s="506">
        <f>+ROUND('SP Min'!E181,0)</f>
        <v>3504807</v>
      </c>
      <c r="K77" s="456">
        <f t="shared" si="5"/>
        <v>-1967037</v>
      </c>
      <c r="L77" s="462">
        <f t="shared" si="4"/>
        <v>-0.56123974872225491</v>
      </c>
      <c r="M77" s="457"/>
      <c r="Q77" s="467"/>
      <c r="R77" s="467"/>
      <c r="S77" s="467"/>
      <c r="T77" s="467"/>
    </row>
    <row r="78" spans="1:20" s="452" customFormat="1" ht="11.25">
      <c r="A78" s="494"/>
      <c r="B78" s="496" t="s">
        <v>124</v>
      </c>
      <c r="C78" s="507" t="s">
        <v>3613</v>
      </c>
      <c r="D78" s="496"/>
      <c r="E78" s="496"/>
      <c r="F78" s="507"/>
      <c r="G78" s="496"/>
      <c r="H78" s="496"/>
      <c r="I78" s="508">
        <f>SUM(I79:I80)</f>
        <v>0</v>
      </c>
      <c r="J78" s="508">
        <f>SUM(J79:J80)</f>
        <v>0</v>
      </c>
      <c r="K78" s="456">
        <f t="shared" si="5"/>
        <v>0</v>
      </c>
      <c r="L78" s="451" t="str">
        <f t="shared" si="4"/>
        <v xml:space="preserve">-    </v>
      </c>
      <c r="M78" s="457"/>
      <c r="Q78" s="469"/>
      <c r="R78" s="469"/>
      <c r="S78" s="469"/>
      <c r="T78" s="469"/>
    </row>
    <row r="79" spans="1:20" s="463" customFormat="1" ht="11.25">
      <c r="A79" s="464"/>
      <c r="B79" s="496"/>
      <c r="C79" s="498" t="s">
        <v>85</v>
      </c>
      <c r="D79" s="498" t="s">
        <v>3614</v>
      </c>
      <c r="E79" s="496"/>
      <c r="F79" s="465"/>
      <c r="G79" s="498"/>
      <c r="H79" s="498"/>
      <c r="I79" s="506">
        <f>+ROUND('SP Min'!D193,0)</f>
        <v>0</v>
      </c>
      <c r="J79" s="506">
        <f>+ROUND('SP Min'!E193,0)</f>
        <v>0</v>
      </c>
      <c r="K79" s="456">
        <f t="shared" si="5"/>
        <v>0</v>
      </c>
      <c r="L79" s="462" t="str">
        <f t="shared" si="4"/>
        <v xml:space="preserve">-    </v>
      </c>
      <c r="M79" s="457"/>
      <c r="Q79" s="467"/>
      <c r="R79" s="467"/>
      <c r="S79" s="467"/>
      <c r="T79" s="467"/>
    </row>
    <row r="80" spans="1:20" s="463" customFormat="1" ht="11.25">
      <c r="A80" s="494"/>
      <c r="B80" s="496"/>
      <c r="C80" s="498" t="s">
        <v>87</v>
      </c>
      <c r="D80" s="498" t="s">
        <v>3615</v>
      </c>
      <c r="E80" s="496"/>
      <c r="F80" s="509"/>
      <c r="G80" s="498"/>
      <c r="H80" s="498"/>
      <c r="I80" s="506">
        <f>+ROUND('SP Min'!D194,0)</f>
        <v>0</v>
      </c>
      <c r="J80" s="506">
        <f>+ROUND('SP Min'!E194,0)</f>
        <v>0</v>
      </c>
      <c r="K80" s="456">
        <f t="shared" si="5"/>
        <v>0</v>
      </c>
      <c r="L80" s="462" t="str">
        <f t="shared" si="4"/>
        <v xml:space="preserve">-    </v>
      </c>
      <c r="M80" s="457"/>
      <c r="Q80" s="467"/>
      <c r="R80" s="467"/>
      <c r="S80" s="467"/>
      <c r="T80" s="467"/>
    </row>
    <row r="81" spans="1:20" s="452" customFormat="1" ht="11.25">
      <c r="A81" s="453"/>
      <c r="B81" s="496" t="s">
        <v>125</v>
      </c>
      <c r="C81" s="507" t="s">
        <v>3616</v>
      </c>
      <c r="D81" s="496"/>
      <c r="E81" s="496"/>
      <c r="F81" s="446"/>
      <c r="G81" s="496"/>
      <c r="H81" s="496"/>
      <c r="I81" s="510">
        <f>SUM(I82:I85)</f>
        <v>38840195</v>
      </c>
      <c r="J81" s="511">
        <f>SUM(J82:J85)</f>
        <v>38999112</v>
      </c>
      <c r="K81" s="456">
        <f t="shared" si="5"/>
        <v>-158917</v>
      </c>
      <c r="L81" s="451">
        <f t="shared" si="4"/>
        <v>-4.0748876538522208E-3</v>
      </c>
      <c r="M81" s="457"/>
      <c r="Q81" s="469"/>
      <c r="R81" s="469"/>
      <c r="S81" s="469"/>
      <c r="T81" s="469"/>
    </row>
    <row r="82" spans="1:20" s="463" customFormat="1" ht="11.25">
      <c r="A82" s="494"/>
      <c r="B82" s="496"/>
      <c r="C82" s="496" t="s">
        <v>85</v>
      </c>
      <c r="D82" s="503" t="s">
        <v>3617</v>
      </c>
      <c r="E82" s="496"/>
      <c r="F82" s="503"/>
      <c r="G82" s="498"/>
      <c r="H82" s="498"/>
      <c r="I82" s="466">
        <f>+ROUND('SP Min'!D196,0)</f>
        <v>44851</v>
      </c>
      <c r="J82" s="506">
        <f>+ROUND('SP Min'!E196,0)</f>
        <v>42835</v>
      </c>
      <c r="K82" s="456">
        <f t="shared" si="5"/>
        <v>2016</v>
      </c>
      <c r="L82" s="462">
        <f t="shared" si="4"/>
        <v>4.7064316563557841E-2</v>
      </c>
      <c r="M82" s="457"/>
      <c r="Q82" s="467"/>
      <c r="R82" s="467"/>
      <c r="S82" s="467"/>
      <c r="T82" s="467"/>
    </row>
    <row r="83" spans="1:20" s="463" customFormat="1" ht="11.25">
      <c r="A83" s="464"/>
      <c r="B83" s="496"/>
      <c r="C83" s="496" t="s">
        <v>87</v>
      </c>
      <c r="D83" s="503" t="s">
        <v>3618</v>
      </c>
      <c r="E83" s="496"/>
      <c r="F83" s="465"/>
      <c r="G83" s="498"/>
      <c r="H83" s="512"/>
      <c r="I83" s="466">
        <f>+ROUND('SP Min'!D197,0)</f>
        <v>38793885</v>
      </c>
      <c r="J83" s="506">
        <f>+ROUND('SP Min'!E197,0)</f>
        <v>38955437</v>
      </c>
      <c r="K83" s="456">
        <f t="shared" si="5"/>
        <v>-161552</v>
      </c>
      <c r="L83" s="462">
        <f t="shared" si="4"/>
        <v>-4.1470976182349075E-3</v>
      </c>
      <c r="M83" s="457"/>
      <c r="Q83" s="467"/>
      <c r="R83" s="467"/>
      <c r="S83" s="467"/>
      <c r="T83" s="467"/>
    </row>
    <row r="84" spans="1:20" s="463" customFormat="1" ht="11.25">
      <c r="A84" s="464"/>
      <c r="B84" s="496"/>
      <c r="C84" s="496" t="s">
        <v>115</v>
      </c>
      <c r="D84" s="503" t="s">
        <v>3619</v>
      </c>
      <c r="E84" s="496"/>
      <c r="F84" s="465"/>
      <c r="G84" s="498"/>
      <c r="H84" s="498"/>
      <c r="I84" s="466">
        <f>+ROUND('SP Min'!D198,0)</f>
        <v>0</v>
      </c>
      <c r="J84" s="506">
        <f>+ROUND('SP Min'!E198,0)</f>
        <v>0</v>
      </c>
      <c r="K84" s="456">
        <f t="shared" si="5"/>
        <v>0</v>
      </c>
      <c r="L84" s="462" t="str">
        <f t="shared" si="4"/>
        <v xml:space="preserve">-    </v>
      </c>
      <c r="M84" s="457"/>
      <c r="Q84" s="467"/>
      <c r="R84" s="467"/>
      <c r="S84" s="467"/>
      <c r="T84" s="467"/>
    </row>
    <row r="85" spans="1:20" s="463" customFormat="1" ht="11.25">
      <c r="A85" s="464"/>
      <c r="B85" s="496"/>
      <c r="C85" s="496" t="s">
        <v>3537</v>
      </c>
      <c r="D85" s="503" t="s">
        <v>3620</v>
      </c>
      <c r="E85" s="496"/>
      <c r="F85" s="465"/>
      <c r="G85" s="498"/>
      <c r="H85" s="498"/>
      <c r="I85" s="466">
        <f>+ROUND('SP Min'!D199,0)</f>
        <v>1459</v>
      </c>
      <c r="J85" s="506">
        <f>+ROUND('SP Min'!E199,0)</f>
        <v>840</v>
      </c>
      <c r="K85" s="456">
        <f t="shared" si="5"/>
        <v>619</v>
      </c>
      <c r="L85" s="462">
        <f t="shared" si="4"/>
        <v>0.73690476190476195</v>
      </c>
      <c r="M85" s="457"/>
      <c r="Q85" s="467"/>
      <c r="R85" s="467"/>
      <c r="S85" s="467"/>
      <c r="T85" s="467"/>
    </row>
    <row r="86" spans="1:20" s="452" customFormat="1" ht="11.25">
      <c r="A86" s="1027" t="s">
        <v>3621</v>
      </c>
      <c r="B86" s="1028"/>
      <c r="C86" s="1028"/>
      <c r="D86" s="1028"/>
      <c r="E86" s="1028"/>
      <c r="F86" s="1028"/>
      <c r="G86" s="1029"/>
      <c r="H86" s="1028"/>
      <c r="I86" s="488">
        <f>I40+I46+I78+I81</f>
        <v>77347132</v>
      </c>
      <c r="J86" s="488">
        <f>J40+J46+J78+J81</f>
        <v>79130004</v>
      </c>
      <c r="K86" s="490">
        <f t="shared" si="5"/>
        <v>-1782872</v>
      </c>
      <c r="L86" s="170">
        <f>IF(J86=0,"-    ",K86/J86)</f>
        <v>-2.2530922657352577E-2</v>
      </c>
      <c r="M86" s="457"/>
      <c r="Q86" s="469"/>
      <c r="R86" s="469"/>
      <c r="S86" s="469"/>
      <c r="T86" s="469"/>
    </row>
    <row r="87" spans="1:20" s="452" customFormat="1" ht="11.25">
      <c r="A87" s="494" t="s">
        <v>83</v>
      </c>
      <c r="B87" s="495" t="s">
        <v>3622</v>
      </c>
      <c r="C87" s="496"/>
      <c r="D87" s="496"/>
      <c r="E87" s="496"/>
      <c r="F87" s="446"/>
      <c r="G87" s="513"/>
      <c r="H87" s="514"/>
      <c r="I87" s="515"/>
      <c r="J87" s="515"/>
      <c r="K87" s="456">
        <f t="shared" si="5"/>
        <v>0</v>
      </c>
      <c r="L87" s="462" t="str">
        <f t="shared" ref="L87" si="6">IF(J87=0,"-    ",K87/K87)</f>
        <v xml:space="preserve">-    </v>
      </c>
      <c r="M87" s="457"/>
      <c r="Q87" s="469"/>
      <c r="R87" s="469"/>
      <c r="S87" s="469"/>
      <c r="T87" s="469"/>
    </row>
    <row r="88" spans="1:20" s="452" customFormat="1" ht="11.25">
      <c r="A88" s="494"/>
      <c r="B88" s="496" t="s">
        <v>122</v>
      </c>
      <c r="C88" s="495" t="s">
        <v>3623</v>
      </c>
      <c r="D88" s="496"/>
      <c r="E88" s="496"/>
      <c r="F88" s="507"/>
      <c r="G88" s="496"/>
      <c r="H88" s="514"/>
      <c r="I88" s="506">
        <f>+ROUND('SP Min'!D201,0)</f>
        <v>19280</v>
      </c>
      <c r="J88" s="506">
        <f>+ROUND('SP Min'!E201,0)</f>
        <v>4128</v>
      </c>
      <c r="K88" s="456">
        <f t="shared" si="5"/>
        <v>15152</v>
      </c>
      <c r="L88" s="462">
        <f t="shared" si="4"/>
        <v>3.6705426356589146</v>
      </c>
      <c r="M88" s="457"/>
      <c r="Q88" s="469"/>
      <c r="R88" s="469"/>
      <c r="S88" s="469"/>
      <c r="T88" s="469"/>
    </row>
    <row r="89" spans="1:20" s="452" customFormat="1" ht="11.25">
      <c r="A89" s="494"/>
      <c r="B89" s="496" t="s">
        <v>123</v>
      </c>
      <c r="C89" s="495" t="s">
        <v>3624</v>
      </c>
      <c r="D89" s="496"/>
      <c r="E89" s="496"/>
      <c r="F89" s="446"/>
      <c r="G89" s="516"/>
      <c r="H89" s="514"/>
      <c r="I89" s="506">
        <f>+ROUND('SP Min'!D204,0)</f>
        <v>27892</v>
      </c>
      <c r="J89" s="506">
        <f>+ROUND('SP Min'!E204,0)</f>
        <v>30638</v>
      </c>
      <c r="K89" s="456">
        <f t="shared" si="5"/>
        <v>-2746</v>
      </c>
      <c r="L89" s="462">
        <f t="shared" si="4"/>
        <v>-8.9627260265030359E-2</v>
      </c>
      <c r="M89" s="457"/>
      <c r="Q89" s="469"/>
      <c r="R89" s="469"/>
      <c r="S89" s="469"/>
      <c r="T89" s="469"/>
    </row>
    <row r="90" spans="1:20" s="452" customFormat="1" ht="11.25">
      <c r="A90" s="1027" t="s">
        <v>3625</v>
      </c>
      <c r="B90" s="1028"/>
      <c r="C90" s="1028"/>
      <c r="D90" s="1028"/>
      <c r="E90" s="1028"/>
      <c r="F90" s="1028"/>
      <c r="G90" s="1030"/>
      <c r="H90" s="1028"/>
      <c r="I90" s="488">
        <f>SUM(I88:I89)</f>
        <v>47172</v>
      </c>
      <c r="J90" s="488">
        <f>SUM(J88:J89)</f>
        <v>34766</v>
      </c>
      <c r="K90" s="490">
        <f t="shared" si="5"/>
        <v>12406</v>
      </c>
      <c r="L90" s="170">
        <f t="shared" si="4"/>
        <v>0.35684289248115975</v>
      </c>
      <c r="M90" s="457"/>
      <c r="Q90" s="469"/>
      <c r="R90" s="469"/>
      <c r="S90" s="469"/>
      <c r="T90" s="469"/>
    </row>
    <row r="91" spans="1:20" s="452" customFormat="1" ht="5.45" customHeight="1" thickBot="1">
      <c r="A91" s="517"/>
      <c r="B91" s="507"/>
      <c r="C91" s="507"/>
      <c r="D91" s="507"/>
      <c r="E91" s="507"/>
      <c r="F91" s="507"/>
      <c r="G91" s="507"/>
      <c r="H91" s="507"/>
      <c r="I91" s="518"/>
      <c r="J91" s="518"/>
      <c r="K91" s="519"/>
      <c r="L91" s="462"/>
      <c r="M91" s="457"/>
      <c r="Q91" s="469"/>
      <c r="R91" s="469"/>
      <c r="S91" s="469"/>
      <c r="T91" s="469"/>
    </row>
    <row r="92" spans="1:20" s="452" customFormat="1" ht="12" thickBot="1">
      <c r="A92" s="1007" t="s">
        <v>3626</v>
      </c>
      <c r="B92" s="1008"/>
      <c r="C92" s="1008"/>
      <c r="D92" s="1008"/>
      <c r="E92" s="1008"/>
      <c r="F92" s="1008"/>
      <c r="G92" s="1008"/>
      <c r="H92" s="1008"/>
      <c r="I92" s="520">
        <f>I37+I86+I90</f>
        <v>113493994</v>
      </c>
      <c r="J92" s="520">
        <f>J37+J86+J90</f>
        <v>111563634</v>
      </c>
      <c r="K92" s="521">
        <f>+I92-J92</f>
        <v>1930360</v>
      </c>
      <c r="L92" s="171">
        <f t="shared" si="4"/>
        <v>1.7302770901134325E-2</v>
      </c>
      <c r="M92" s="457"/>
      <c r="N92" s="457"/>
      <c r="Q92" s="469"/>
      <c r="R92" s="469"/>
      <c r="S92" s="469"/>
      <c r="T92" s="469"/>
    </row>
    <row r="93" spans="1:20" s="452" customFormat="1" ht="11.25">
      <c r="A93" s="494" t="s">
        <v>91</v>
      </c>
      <c r="B93" s="495" t="s">
        <v>3627</v>
      </c>
      <c r="C93" s="496"/>
      <c r="D93" s="496"/>
      <c r="E93" s="496"/>
      <c r="F93" s="446"/>
      <c r="G93" s="496"/>
      <c r="H93" s="514"/>
      <c r="I93" s="515"/>
      <c r="J93" s="515"/>
      <c r="K93" s="519"/>
      <c r="L93" s="462"/>
      <c r="M93" s="457"/>
      <c r="Q93" s="469"/>
      <c r="R93" s="469"/>
      <c r="S93" s="469"/>
      <c r="T93" s="469"/>
    </row>
    <row r="94" spans="1:20" s="452" customFormat="1" ht="11.25">
      <c r="A94" s="494"/>
      <c r="B94" s="498" t="s">
        <v>3628</v>
      </c>
      <c r="C94" s="522" t="s">
        <v>3629</v>
      </c>
      <c r="D94" s="498"/>
      <c r="E94" s="498"/>
      <c r="F94" s="503"/>
      <c r="G94" s="496"/>
      <c r="H94" s="514"/>
      <c r="I94" s="506">
        <f>+ROUND('SP Min'!D209,0)</f>
        <v>66479</v>
      </c>
      <c r="J94" s="506">
        <f>+ROUND('SP Min'!E209,0)</f>
        <v>116759</v>
      </c>
      <c r="K94" s="456">
        <f>+I94-J94</f>
        <v>-50280</v>
      </c>
      <c r="L94" s="451">
        <f t="shared" si="4"/>
        <v>-0.43063061519882834</v>
      </c>
      <c r="M94" s="457"/>
      <c r="Q94" s="469"/>
      <c r="R94" s="469"/>
      <c r="S94" s="469"/>
      <c r="T94" s="469"/>
    </row>
    <row r="95" spans="1:20" s="452" customFormat="1" ht="11.25">
      <c r="A95" s="494"/>
      <c r="B95" s="498" t="s">
        <v>87</v>
      </c>
      <c r="C95" s="503" t="s">
        <v>3630</v>
      </c>
      <c r="D95" s="498"/>
      <c r="E95" s="498"/>
      <c r="F95" s="465"/>
      <c r="G95" s="496"/>
      <c r="H95" s="514"/>
      <c r="I95" s="506">
        <f>+ROUND('SP Min'!D210,0)</f>
        <v>0</v>
      </c>
      <c r="J95" s="506">
        <f>+ROUND('SP Min'!E210,0)</f>
        <v>0</v>
      </c>
      <c r="K95" s="456">
        <f t="shared" ref="K95:K98" si="7">+I95-J95</f>
        <v>0</v>
      </c>
      <c r="L95" s="451" t="str">
        <f t="shared" si="4"/>
        <v xml:space="preserve">-    </v>
      </c>
      <c r="M95" s="457"/>
      <c r="Q95" s="469"/>
      <c r="R95" s="469"/>
      <c r="S95" s="469"/>
      <c r="T95" s="469"/>
    </row>
    <row r="96" spans="1:20" s="452" customFormat="1" ht="11.25">
      <c r="A96" s="494"/>
      <c r="B96" s="503" t="s">
        <v>115</v>
      </c>
      <c r="C96" s="498" t="s">
        <v>3631</v>
      </c>
      <c r="D96" s="498"/>
      <c r="E96" s="498"/>
      <c r="F96" s="465"/>
      <c r="G96" s="496"/>
      <c r="H96" s="514"/>
      <c r="I96" s="506">
        <f>+ROUND('SP Min'!D211,0)</f>
        <v>1463350</v>
      </c>
      <c r="J96" s="506">
        <f>+ROUND('SP Min'!E211,0)</f>
        <v>0</v>
      </c>
      <c r="K96" s="456">
        <f t="shared" si="7"/>
        <v>1463350</v>
      </c>
      <c r="L96" s="451" t="str">
        <f t="shared" si="4"/>
        <v xml:space="preserve">-    </v>
      </c>
      <c r="M96" s="457"/>
      <c r="Q96" s="469"/>
      <c r="R96" s="469"/>
      <c r="S96" s="469"/>
      <c r="T96" s="469"/>
    </row>
    <row r="97" spans="1:20" s="452" customFormat="1" ht="11.25">
      <c r="A97" s="494"/>
      <c r="B97" s="498" t="s">
        <v>3537</v>
      </c>
      <c r="C97" s="522" t="s">
        <v>3632</v>
      </c>
      <c r="D97" s="498"/>
      <c r="E97" s="498"/>
      <c r="F97" s="503"/>
      <c r="G97" s="516"/>
      <c r="H97" s="514"/>
      <c r="I97" s="506">
        <f>+ROUND('SP Min'!D212+'SP Min'!D213,0)</f>
        <v>1277134</v>
      </c>
      <c r="J97" s="506">
        <f>+ROUND('SP Min'!E212+'SP Min'!E213,0)</f>
        <v>2781638</v>
      </c>
      <c r="K97" s="456">
        <f t="shared" si="7"/>
        <v>-1504504</v>
      </c>
      <c r="L97" s="451">
        <f t="shared" si="4"/>
        <v>-0.54086980405070684</v>
      </c>
      <c r="M97" s="457"/>
      <c r="Q97" s="469"/>
      <c r="R97" s="469"/>
      <c r="S97" s="469"/>
      <c r="T97" s="469"/>
    </row>
    <row r="98" spans="1:20" s="452" customFormat="1" ht="12" thickBot="1">
      <c r="A98" s="1033" t="s">
        <v>3633</v>
      </c>
      <c r="B98" s="1034"/>
      <c r="C98" s="1034"/>
      <c r="D98" s="1034"/>
      <c r="E98" s="1034"/>
      <c r="F98" s="1034"/>
      <c r="G98" s="1035"/>
      <c r="H98" s="1036"/>
      <c r="I98" s="523">
        <f>SUM(I94:I97)</f>
        <v>2806963</v>
      </c>
      <c r="J98" s="523">
        <f>SUM(J94:J97)</f>
        <v>2898397</v>
      </c>
      <c r="K98" s="524">
        <f t="shared" si="7"/>
        <v>-91434</v>
      </c>
      <c r="L98" s="525">
        <f t="shared" si="4"/>
        <v>-3.1546403063486474E-2</v>
      </c>
      <c r="M98" s="457"/>
      <c r="N98" s="457"/>
      <c r="Q98" s="469"/>
      <c r="R98" s="469"/>
      <c r="S98" s="469"/>
      <c r="T98" s="469"/>
    </row>
    <row r="99" spans="1:20" s="463" customFormat="1" ht="11.25">
      <c r="A99" s="454"/>
      <c r="B99" s="454"/>
      <c r="C99" s="454"/>
      <c r="D99" s="454"/>
      <c r="E99" s="454"/>
      <c r="F99" s="454"/>
      <c r="G99" s="454"/>
      <c r="H99" s="454"/>
      <c r="I99" s="526"/>
      <c r="J99" s="527"/>
      <c r="K99" s="191"/>
      <c r="L99" s="528"/>
      <c r="M99" s="457"/>
      <c r="Q99" s="467"/>
      <c r="R99" s="467"/>
      <c r="S99" s="467"/>
      <c r="T99" s="467"/>
    </row>
    <row r="100" spans="1:20" s="463" customFormat="1" ht="12" thickBot="1">
      <c r="A100" s="529"/>
      <c r="B100" s="529"/>
      <c r="C100" s="529"/>
      <c r="D100" s="529"/>
      <c r="E100" s="529"/>
      <c r="F100" s="500"/>
      <c r="G100" s="530"/>
      <c r="H100" s="530"/>
      <c r="I100" s="429"/>
      <c r="J100" s="429"/>
      <c r="K100" s="530"/>
      <c r="L100" s="531"/>
      <c r="M100" s="457"/>
      <c r="Q100" s="467"/>
      <c r="R100" s="467"/>
      <c r="S100" s="467"/>
      <c r="T100" s="467"/>
    </row>
    <row r="101" spans="1:20" ht="32.25" customHeight="1" thickBot="1">
      <c r="A101" s="1037" t="s">
        <v>3634</v>
      </c>
      <c r="B101" s="1038"/>
      <c r="C101" s="1038"/>
      <c r="D101" s="1038"/>
      <c r="E101" s="1038"/>
      <c r="F101" s="1038"/>
      <c r="G101" s="1038"/>
      <c r="H101" s="1038"/>
      <c r="I101" s="1038"/>
      <c r="J101" s="1038"/>
      <c r="K101" s="1011" t="s">
        <v>3635</v>
      </c>
      <c r="L101" s="1012"/>
      <c r="M101" s="457"/>
    </row>
    <row r="102" spans="1:20" ht="13.5" thickBot="1">
      <c r="A102" s="532"/>
      <c r="B102" s="532"/>
      <c r="C102" s="532"/>
      <c r="D102" s="532"/>
      <c r="E102" s="532"/>
      <c r="F102" s="533"/>
      <c r="G102" s="530"/>
      <c r="H102" s="530"/>
      <c r="I102" s="429"/>
      <c r="J102" s="430"/>
      <c r="K102" s="431"/>
      <c r="L102" s="432"/>
      <c r="M102" s="457"/>
    </row>
    <row r="103" spans="1:20" ht="13.15" customHeight="1">
      <c r="A103" s="1039" t="s">
        <v>2105</v>
      </c>
      <c r="B103" s="1040"/>
      <c r="C103" s="1040"/>
      <c r="D103" s="1040"/>
      <c r="E103" s="1040"/>
      <c r="F103" s="1040"/>
      <c r="G103" s="1040"/>
      <c r="H103" s="1040"/>
      <c r="I103" s="1018" t="s">
        <v>4874</v>
      </c>
      <c r="J103" s="1018" t="s">
        <v>3530</v>
      </c>
      <c r="K103" s="1020" t="s">
        <v>3531</v>
      </c>
      <c r="L103" s="1021"/>
      <c r="M103" s="457"/>
    </row>
    <row r="104" spans="1:20" ht="39.75" customHeight="1">
      <c r="A104" s="1041"/>
      <c r="B104" s="1042"/>
      <c r="C104" s="1042"/>
      <c r="D104" s="1042"/>
      <c r="E104" s="1042"/>
      <c r="F104" s="1042"/>
      <c r="G104" s="1043"/>
      <c r="H104" s="1042"/>
      <c r="I104" s="1019"/>
      <c r="J104" s="1019"/>
      <c r="K104" s="433" t="s">
        <v>1</v>
      </c>
      <c r="L104" s="434" t="s">
        <v>2</v>
      </c>
      <c r="M104" s="457"/>
    </row>
    <row r="105" spans="1:20" s="463" customFormat="1" ht="11.25">
      <c r="A105" s="534"/>
      <c r="B105" s="535"/>
      <c r="C105" s="535"/>
      <c r="D105" s="535"/>
      <c r="E105" s="535"/>
      <c r="F105" s="536"/>
      <c r="G105" s="537"/>
      <c r="H105" s="538"/>
      <c r="I105" s="539"/>
      <c r="J105" s="540"/>
      <c r="K105" s="541"/>
      <c r="L105" s="542"/>
      <c r="M105" s="457"/>
      <c r="Q105" s="467"/>
      <c r="R105" s="467"/>
      <c r="S105" s="467"/>
      <c r="T105" s="467"/>
    </row>
    <row r="106" spans="1:20" s="452" customFormat="1" ht="11.25">
      <c r="A106" s="443" t="s">
        <v>3</v>
      </c>
      <c r="B106" s="194" t="s">
        <v>3636</v>
      </c>
      <c r="C106" s="445"/>
      <c r="D106" s="445"/>
      <c r="E106" s="445"/>
      <c r="F106" s="446"/>
      <c r="G106" s="447"/>
      <c r="H106" s="199"/>
      <c r="I106" s="543"/>
      <c r="J106" s="508"/>
      <c r="K106" s="200"/>
      <c r="L106" s="544"/>
      <c r="M106" s="457"/>
      <c r="Q106" s="469"/>
      <c r="R106" s="469"/>
      <c r="S106" s="469"/>
      <c r="T106" s="469"/>
    </row>
    <row r="107" spans="1:20" s="452" customFormat="1" ht="11.25">
      <c r="A107" s="443"/>
      <c r="B107" s="445"/>
      <c r="C107" s="445"/>
      <c r="D107" s="445"/>
      <c r="E107" s="445"/>
      <c r="F107" s="454"/>
      <c r="G107" s="447"/>
      <c r="H107" s="199"/>
      <c r="I107" s="543"/>
      <c r="J107" s="508"/>
      <c r="K107" s="456"/>
      <c r="L107" s="544"/>
      <c r="M107" s="457"/>
      <c r="Q107" s="469"/>
      <c r="R107" s="469"/>
      <c r="S107" s="469"/>
      <c r="T107" s="469"/>
    </row>
    <row r="108" spans="1:20" s="452" customFormat="1" ht="11.25">
      <c r="A108" s="453"/>
      <c r="B108" s="445" t="s">
        <v>122</v>
      </c>
      <c r="C108" s="454" t="s">
        <v>3637</v>
      </c>
      <c r="D108" s="445"/>
      <c r="E108" s="445"/>
      <c r="F108" s="446"/>
      <c r="G108" s="447"/>
      <c r="H108" s="199"/>
      <c r="I108" s="508">
        <f>+ROUND('SP Min'!D215,0)</f>
        <v>308581</v>
      </c>
      <c r="J108" s="508">
        <f>+ROUND('SP Min'!E215,0)</f>
        <v>269581</v>
      </c>
      <c r="K108" s="519">
        <f>+I108-J108</f>
        <v>39000</v>
      </c>
      <c r="L108" s="462">
        <f t="shared" ref="L108:L167" si="8">IF(J108=0,"-    ",K108/J108)</f>
        <v>0.14466894922119883</v>
      </c>
      <c r="M108" s="457"/>
      <c r="N108" s="545"/>
      <c r="Q108" s="469"/>
      <c r="R108" s="469"/>
      <c r="S108" s="469"/>
      <c r="T108" s="469"/>
    </row>
    <row r="109" spans="1:20" s="452" customFormat="1" ht="11.25">
      <c r="A109" s="453"/>
      <c r="B109" s="445" t="s">
        <v>123</v>
      </c>
      <c r="C109" s="546" t="s">
        <v>3638</v>
      </c>
      <c r="D109" s="445"/>
      <c r="E109" s="445"/>
      <c r="F109" s="547"/>
      <c r="G109" s="447"/>
      <c r="H109" s="199"/>
      <c r="I109" s="455">
        <f>I110+I111+SUM(I115:I117)</f>
        <v>55126656</v>
      </c>
      <c r="J109" s="508">
        <f>J110+J111+SUM(J115:J117)</f>
        <v>52280717</v>
      </c>
      <c r="K109" s="519">
        <f>+I109-J109</f>
        <v>2845939</v>
      </c>
      <c r="L109" s="462">
        <f t="shared" si="8"/>
        <v>5.4435730099110922E-2</v>
      </c>
      <c r="M109" s="457"/>
      <c r="Q109" s="469"/>
      <c r="R109" s="469"/>
      <c r="S109" s="469"/>
      <c r="T109" s="469"/>
    </row>
    <row r="110" spans="1:20" s="463" customFormat="1" ht="11.25">
      <c r="A110" s="464"/>
      <c r="B110" s="445"/>
      <c r="C110" s="498" t="s">
        <v>85</v>
      </c>
      <c r="D110" s="498" t="s">
        <v>3639</v>
      </c>
      <c r="E110" s="496"/>
      <c r="F110" s="459"/>
      <c r="G110" s="460"/>
      <c r="H110" s="198"/>
      <c r="I110" s="466">
        <f>+ROUND('SP Min'!D217,0)</f>
        <v>2748992</v>
      </c>
      <c r="J110" s="506">
        <f>+ROUND('SP Min'!E217,0)</f>
        <v>2931371</v>
      </c>
      <c r="K110" s="519">
        <f t="shared" ref="K110:K167" si="9">+I110-J110</f>
        <v>-182379</v>
      </c>
      <c r="L110" s="462">
        <f t="shared" si="8"/>
        <v>-6.2216280368469226E-2</v>
      </c>
      <c r="M110" s="457"/>
      <c r="Q110" s="467"/>
      <c r="R110" s="467"/>
      <c r="S110" s="467"/>
      <c r="T110" s="467"/>
    </row>
    <row r="111" spans="1:20" s="463" customFormat="1" ht="11.25">
      <c r="A111" s="464"/>
      <c r="B111" s="445"/>
      <c r="C111" s="498" t="s">
        <v>87</v>
      </c>
      <c r="D111" s="498" t="s">
        <v>3640</v>
      </c>
      <c r="E111" s="496"/>
      <c r="F111" s="459"/>
      <c r="G111" s="460"/>
      <c r="H111" s="198"/>
      <c r="I111" s="466">
        <f>SUM(I112:I114)</f>
        <v>22727917</v>
      </c>
      <c r="J111" s="506">
        <f>SUM(J112:J114)</f>
        <v>22476784</v>
      </c>
      <c r="K111" s="519">
        <f t="shared" si="9"/>
        <v>251133</v>
      </c>
      <c r="L111" s="462">
        <f t="shared" si="8"/>
        <v>1.1172995211414587E-2</v>
      </c>
      <c r="M111" s="457"/>
      <c r="Q111" s="467"/>
      <c r="R111" s="467"/>
      <c r="S111" s="467"/>
      <c r="T111" s="467"/>
    </row>
    <row r="112" spans="1:20" s="463" customFormat="1" ht="11.25">
      <c r="A112" s="464"/>
      <c r="B112" s="496"/>
      <c r="C112" s="498"/>
      <c r="D112" s="501" t="s">
        <v>3641</v>
      </c>
      <c r="E112" s="501" t="s">
        <v>3642</v>
      </c>
      <c r="F112" s="503"/>
      <c r="G112" s="498"/>
      <c r="H112" s="498"/>
      <c r="I112" s="466">
        <f>+ROUND('SP Min'!D219,0)</f>
        <v>15013895</v>
      </c>
      <c r="J112" s="506">
        <f>+ROUND('SP Min'!E219,0)</f>
        <v>15039145</v>
      </c>
      <c r="K112" s="519">
        <f t="shared" si="9"/>
        <v>-25250</v>
      </c>
      <c r="L112" s="462">
        <f t="shared" si="8"/>
        <v>-1.6789518287110071E-3</v>
      </c>
      <c r="M112" s="457"/>
      <c r="Q112" s="467"/>
      <c r="R112" s="467"/>
      <c r="S112" s="467"/>
      <c r="T112" s="467"/>
    </row>
    <row r="113" spans="1:20" s="463" customFormat="1" ht="11.25">
      <c r="A113" s="464"/>
      <c r="B113" s="496"/>
      <c r="C113" s="498"/>
      <c r="D113" s="501" t="s">
        <v>3545</v>
      </c>
      <c r="E113" s="501" t="s">
        <v>3643</v>
      </c>
      <c r="F113" s="503"/>
      <c r="G113" s="498"/>
      <c r="H113" s="498"/>
      <c r="I113" s="466">
        <f>+ROUND('SP Min'!D220,0)</f>
        <v>958921</v>
      </c>
      <c r="J113" s="506">
        <f>+ROUND('SP Min'!E220,0)</f>
        <v>539204</v>
      </c>
      <c r="K113" s="519">
        <f t="shared" si="9"/>
        <v>419717</v>
      </c>
      <c r="L113" s="462">
        <f t="shared" si="8"/>
        <v>0.77840112462073718</v>
      </c>
      <c r="M113" s="457"/>
      <c r="Q113" s="467"/>
      <c r="R113" s="467"/>
      <c r="S113" s="467"/>
      <c r="T113" s="467"/>
    </row>
    <row r="114" spans="1:20" s="463" customFormat="1" ht="11.25">
      <c r="A114" s="464"/>
      <c r="B114" s="496"/>
      <c r="C114" s="498"/>
      <c r="D114" s="501" t="s">
        <v>3644</v>
      </c>
      <c r="E114" s="501" t="s">
        <v>3645</v>
      </c>
      <c r="F114" s="503"/>
      <c r="G114" s="498"/>
      <c r="H114" s="498"/>
      <c r="I114" s="466">
        <f>+ROUND('SP Min'!D221,0)</f>
        <v>6755101</v>
      </c>
      <c r="J114" s="506">
        <f>+ROUND('SP Min'!E221,0)</f>
        <v>6898435</v>
      </c>
      <c r="K114" s="519">
        <f t="shared" si="9"/>
        <v>-143334</v>
      </c>
      <c r="L114" s="462">
        <f t="shared" si="8"/>
        <v>-2.0777756114249101E-2</v>
      </c>
      <c r="M114" s="457"/>
      <c r="N114" s="927"/>
      <c r="Q114" s="467"/>
      <c r="R114" s="467"/>
      <c r="S114" s="467"/>
      <c r="T114" s="467"/>
    </row>
    <row r="115" spans="1:20" s="463" customFormat="1" ht="11.25">
      <c r="A115" s="464"/>
      <c r="B115" s="496"/>
      <c r="C115" s="479" t="s">
        <v>115</v>
      </c>
      <c r="D115" s="479" t="s">
        <v>3646</v>
      </c>
      <c r="E115" s="498"/>
      <c r="F115" s="503"/>
      <c r="G115" s="498"/>
      <c r="H115" s="498"/>
      <c r="I115" s="466">
        <f>+ROUND('SP Min'!D222,0)</f>
        <v>29508985</v>
      </c>
      <c r="J115" s="506">
        <f>+ROUND('SP Min'!E222,0)</f>
        <v>26779353</v>
      </c>
      <c r="K115" s="519">
        <f t="shared" si="9"/>
        <v>2729632</v>
      </c>
      <c r="L115" s="462">
        <f t="shared" si="8"/>
        <v>0.10193046859645936</v>
      </c>
      <c r="M115" s="457"/>
      <c r="N115" s="928"/>
      <c r="Q115" s="467"/>
      <c r="R115" s="467"/>
      <c r="S115" s="467"/>
      <c r="T115" s="467"/>
    </row>
    <row r="116" spans="1:20" s="463" customFormat="1" ht="11.25">
      <c r="A116" s="464"/>
      <c r="B116" s="496"/>
      <c r="C116" s="479" t="s">
        <v>3537</v>
      </c>
      <c r="D116" s="479" t="s">
        <v>3647</v>
      </c>
      <c r="E116" s="498"/>
      <c r="F116" s="503"/>
      <c r="G116" s="498"/>
      <c r="H116" s="498"/>
      <c r="I116" s="466">
        <f>+ROUND('SP Min'!D223,0)</f>
        <v>28336</v>
      </c>
      <c r="J116" s="506">
        <f>+ROUND('SP Min'!E223,0)</f>
        <v>9172</v>
      </c>
      <c r="K116" s="519">
        <f t="shared" si="9"/>
        <v>19164</v>
      </c>
      <c r="L116" s="462">
        <f t="shared" si="8"/>
        <v>2.0894025294374181</v>
      </c>
      <c r="M116" s="457"/>
      <c r="Q116" s="467"/>
      <c r="R116" s="467"/>
      <c r="S116" s="467"/>
      <c r="T116" s="467"/>
    </row>
    <row r="117" spans="1:20" s="463" customFormat="1" ht="11.25">
      <c r="A117" s="464"/>
      <c r="B117" s="445"/>
      <c r="C117" s="479" t="s">
        <v>3539</v>
      </c>
      <c r="D117" s="479" t="s">
        <v>3648</v>
      </c>
      <c r="E117" s="445"/>
      <c r="F117" s="459"/>
      <c r="G117" s="460"/>
      <c r="H117" s="198"/>
      <c r="I117" s="466">
        <f>+ROUND('SP Min'!D224,0)</f>
        <v>112426</v>
      </c>
      <c r="J117" s="506">
        <f>+ROUND('SP Min'!E224,0)</f>
        <v>84037</v>
      </c>
      <c r="K117" s="519">
        <f t="shared" si="9"/>
        <v>28389</v>
      </c>
      <c r="L117" s="462">
        <f t="shared" si="8"/>
        <v>0.33781548603591277</v>
      </c>
      <c r="M117" s="457"/>
      <c r="Q117" s="467"/>
      <c r="R117" s="467"/>
      <c r="S117" s="467"/>
      <c r="T117" s="467"/>
    </row>
    <row r="118" spans="1:20" s="452" customFormat="1" ht="11.25">
      <c r="A118" s="453"/>
      <c r="B118" s="546" t="s">
        <v>124</v>
      </c>
      <c r="C118" s="546" t="s">
        <v>3649</v>
      </c>
      <c r="D118" s="445"/>
      <c r="E118" s="445"/>
      <c r="F118" s="547"/>
      <c r="G118" s="447"/>
      <c r="H118" s="199"/>
      <c r="I118" s="455">
        <f>+ROUND('SP Min'!D225,0)</f>
        <v>4941979</v>
      </c>
      <c r="J118" s="508">
        <f>+ROUND('SP Min'!E225,0)</f>
        <v>2190789</v>
      </c>
      <c r="K118" s="519">
        <f t="shared" si="9"/>
        <v>2751190</v>
      </c>
      <c r="L118" s="462">
        <f t="shared" si="8"/>
        <v>1.2557987099624839</v>
      </c>
      <c r="M118" s="457"/>
      <c r="Q118" s="469"/>
      <c r="R118" s="469"/>
      <c r="S118" s="469"/>
      <c r="T118" s="469"/>
    </row>
    <row r="119" spans="1:20" s="452" customFormat="1" ht="11.25">
      <c r="A119" s="453"/>
      <c r="B119" s="546" t="s">
        <v>125</v>
      </c>
      <c r="C119" s="454" t="s">
        <v>3650</v>
      </c>
      <c r="D119" s="445"/>
      <c r="E119" s="445"/>
      <c r="F119" s="547"/>
      <c r="G119" s="447"/>
      <c r="H119" s="199"/>
      <c r="I119" s="455">
        <f>+ROUND('SP Min'!D226,0)</f>
        <v>2927983</v>
      </c>
      <c r="J119" s="455">
        <f>+ROUND('SP Min'!E226,0)</f>
        <v>3105587</v>
      </c>
      <c r="K119" s="519">
        <f t="shared" si="9"/>
        <v>-177604</v>
      </c>
      <c r="L119" s="462">
        <f t="shared" si="8"/>
        <v>-5.7188544387904765E-2</v>
      </c>
      <c r="M119" s="457"/>
      <c r="Q119" s="469"/>
      <c r="R119" s="469"/>
      <c r="S119" s="469"/>
      <c r="T119" s="469"/>
    </row>
    <row r="120" spans="1:20" s="452" customFormat="1" ht="11.25">
      <c r="A120" s="453"/>
      <c r="B120" s="546" t="s">
        <v>126</v>
      </c>
      <c r="C120" s="454" t="s">
        <v>3651</v>
      </c>
      <c r="D120" s="445"/>
      <c r="E120" s="445"/>
      <c r="F120" s="446"/>
      <c r="G120" s="447"/>
      <c r="H120" s="199"/>
      <c r="I120" s="508">
        <f>+ROUND('SP Min'!D232,0)</f>
        <v>0</v>
      </c>
      <c r="J120" s="508">
        <f>+ROUND('SP Min'!E232,0)</f>
        <v>0</v>
      </c>
      <c r="K120" s="519">
        <f t="shared" si="9"/>
        <v>0</v>
      </c>
      <c r="L120" s="462" t="str">
        <f t="shared" si="8"/>
        <v xml:space="preserve">-    </v>
      </c>
      <c r="M120" s="457"/>
      <c r="Q120" s="469"/>
      <c r="R120" s="469"/>
      <c r="S120" s="469"/>
      <c r="T120" s="469"/>
    </row>
    <row r="121" spans="1:20" s="452" customFormat="1" ht="11.25">
      <c r="A121" s="453"/>
      <c r="B121" s="546" t="s">
        <v>127</v>
      </c>
      <c r="C121" s="454" t="s">
        <v>3652</v>
      </c>
      <c r="D121" s="445"/>
      <c r="E121" s="445"/>
      <c r="F121" s="547"/>
      <c r="G121" s="447"/>
      <c r="H121" s="199"/>
      <c r="I121" s="508">
        <f>+ROUND('SP Min'!D236,0)</f>
        <v>0</v>
      </c>
      <c r="J121" s="508">
        <f>+ROUND('SP Min'!E236,0)</f>
        <v>0</v>
      </c>
      <c r="K121" s="519">
        <f t="shared" si="9"/>
        <v>0</v>
      </c>
      <c r="L121" s="462" t="str">
        <f t="shared" si="8"/>
        <v xml:space="preserve">-    </v>
      </c>
      <c r="M121" s="457"/>
      <c r="Q121" s="469"/>
      <c r="R121" s="469"/>
      <c r="S121" s="469"/>
      <c r="T121" s="469"/>
    </row>
    <row r="122" spans="1:20" s="452" customFormat="1" ht="11.25">
      <c r="A122" s="453"/>
      <c r="B122" s="546" t="s">
        <v>3653</v>
      </c>
      <c r="C122" s="454" t="s">
        <v>3654</v>
      </c>
      <c r="D122" s="445"/>
      <c r="E122" s="445"/>
      <c r="F122" s="547"/>
      <c r="G122" s="447"/>
      <c r="H122" s="199"/>
      <c r="I122" s="508">
        <f>+ROUND('SP Min'!D237,0)</f>
        <v>15600</v>
      </c>
      <c r="J122" s="508">
        <f>+ROUND('SP Min'!E237,0)</f>
        <v>147116</v>
      </c>
      <c r="K122" s="519">
        <f t="shared" si="9"/>
        <v>-131516</v>
      </c>
      <c r="L122" s="548">
        <f t="shared" si="8"/>
        <v>-0.8939612278746023</v>
      </c>
      <c r="M122" s="457"/>
      <c r="Q122" s="469"/>
      <c r="R122" s="469"/>
      <c r="S122" s="469"/>
      <c r="T122" s="469"/>
    </row>
    <row r="123" spans="1:20" s="452" customFormat="1" ht="11.25">
      <c r="A123" s="1024" t="s">
        <v>3574</v>
      </c>
      <c r="B123" s="1025"/>
      <c r="C123" s="1025"/>
      <c r="D123" s="1025"/>
      <c r="E123" s="1025"/>
      <c r="F123" s="1025"/>
      <c r="G123" s="1044"/>
      <c r="H123" s="1025"/>
      <c r="I123" s="488">
        <f>I108+I109+SUM(I118:I122)</f>
        <v>63320799</v>
      </c>
      <c r="J123" s="489">
        <f>J108+J109+SUM(J118:J122)</f>
        <v>57993790</v>
      </c>
      <c r="K123" s="549">
        <f t="shared" si="9"/>
        <v>5327009</v>
      </c>
      <c r="L123" s="170">
        <f t="shared" si="8"/>
        <v>9.1854817558914503E-2</v>
      </c>
      <c r="M123" s="457"/>
      <c r="Q123" s="469"/>
      <c r="R123" s="469"/>
      <c r="S123" s="469"/>
      <c r="T123" s="469"/>
    </row>
    <row r="124" spans="1:20" s="452" customFormat="1" ht="11.25">
      <c r="A124" s="550" t="s">
        <v>32</v>
      </c>
      <c r="B124" s="194" t="s">
        <v>3655</v>
      </c>
      <c r="C124" s="546"/>
      <c r="D124" s="445"/>
      <c r="E124" s="445"/>
      <c r="F124" s="446"/>
      <c r="G124" s="551"/>
      <c r="H124" s="199"/>
      <c r="I124" s="491"/>
      <c r="J124" s="491"/>
      <c r="K124" s="456">
        <f t="shared" si="9"/>
        <v>0</v>
      </c>
      <c r="L124" s="183" t="str">
        <f t="shared" si="8"/>
        <v xml:space="preserve">-    </v>
      </c>
      <c r="M124" s="457"/>
      <c r="Q124" s="469"/>
      <c r="R124" s="469"/>
      <c r="S124" s="469"/>
      <c r="T124" s="469"/>
    </row>
    <row r="125" spans="1:20" s="452" customFormat="1" ht="11.25">
      <c r="A125" s="550"/>
      <c r="B125" s="546" t="s">
        <v>85</v>
      </c>
      <c r="C125" s="194" t="s">
        <v>3656</v>
      </c>
      <c r="D125" s="445"/>
      <c r="E125" s="445"/>
      <c r="F125" s="446"/>
      <c r="G125" s="447"/>
      <c r="H125" s="199"/>
      <c r="I125" s="508">
        <f>+ROUND('SP Min'!D239,0)</f>
        <v>0</v>
      </c>
      <c r="J125" s="508">
        <f>+ROUND('SP Min'!E239,0)</f>
        <v>0</v>
      </c>
      <c r="K125" s="519">
        <f t="shared" si="9"/>
        <v>0</v>
      </c>
      <c r="L125" s="462" t="str">
        <f t="shared" si="8"/>
        <v xml:space="preserve">-    </v>
      </c>
      <c r="M125" s="457"/>
      <c r="Q125" s="469"/>
      <c r="R125" s="469"/>
      <c r="S125" s="469"/>
      <c r="T125" s="469"/>
    </row>
    <row r="126" spans="1:20" s="452" customFormat="1" ht="11.25">
      <c r="A126" s="550"/>
      <c r="B126" s="546" t="s">
        <v>87</v>
      </c>
      <c r="C126" s="194" t="s">
        <v>3657</v>
      </c>
      <c r="D126" s="445"/>
      <c r="E126" s="445"/>
      <c r="F126" s="454"/>
      <c r="G126" s="447"/>
      <c r="H126" s="199"/>
      <c r="I126" s="508">
        <f>+ROUND('SP Min'!D240,0)</f>
        <v>4577189</v>
      </c>
      <c r="J126" s="508">
        <f>+ROUND('SP Min'!E240,0)</f>
        <v>5397188</v>
      </c>
      <c r="K126" s="519">
        <f t="shared" si="9"/>
        <v>-819999</v>
      </c>
      <c r="L126" s="462">
        <f t="shared" si="8"/>
        <v>-0.15193078321525949</v>
      </c>
      <c r="M126" s="457"/>
      <c r="Q126" s="469"/>
      <c r="R126" s="469"/>
      <c r="S126" s="469"/>
      <c r="T126" s="469"/>
    </row>
    <row r="127" spans="1:20" s="452" customFormat="1" ht="11.25">
      <c r="A127" s="550"/>
      <c r="B127" s="546" t="s">
        <v>115</v>
      </c>
      <c r="C127" s="194" t="s">
        <v>3658</v>
      </c>
      <c r="D127" s="445"/>
      <c r="E127" s="445"/>
      <c r="F127" s="446"/>
      <c r="G127" s="447"/>
      <c r="H127" s="199"/>
      <c r="I127" s="508">
        <f>+ROUND('SP Min'!D248,0)</f>
        <v>0</v>
      </c>
      <c r="J127" s="508">
        <f>+ROUND('SP Min'!E248,0)</f>
        <v>0</v>
      </c>
      <c r="K127" s="519">
        <f t="shared" si="9"/>
        <v>0</v>
      </c>
      <c r="L127" s="462" t="str">
        <f t="shared" si="8"/>
        <v xml:space="preserve">-    </v>
      </c>
      <c r="M127" s="457"/>
      <c r="Q127" s="469"/>
      <c r="R127" s="469"/>
      <c r="S127" s="469"/>
      <c r="T127" s="469"/>
    </row>
    <row r="128" spans="1:20" s="452" customFormat="1" ht="11.25">
      <c r="A128" s="550"/>
      <c r="B128" s="546" t="s">
        <v>3537</v>
      </c>
      <c r="C128" s="546" t="s">
        <v>3659</v>
      </c>
      <c r="D128" s="445"/>
      <c r="E128" s="445"/>
      <c r="F128" s="454"/>
      <c r="G128" s="447"/>
      <c r="H128" s="199"/>
      <c r="I128" s="455">
        <f>+ROUND('SP Min'!D257,0)</f>
        <v>15164224</v>
      </c>
      <c r="J128" s="508">
        <f>+ROUND('SP Min'!E257,0)</f>
        <v>16236151</v>
      </c>
      <c r="K128" s="519">
        <f t="shared" si="9"/>
        <v>-1071927</v>
      </c>
      <c r="L128" s="462">
        <f t="shared" si="8"/>
        <v>-6.602100460878936E-2</v>
      </c>
      <c r="M128" s="457"/>
      <c r="Q128" s="469"/>
      <c r="R128" s="469"/>
      <c r="S128" s="469"/>
      <c r="T128" s="469"/>
    </row>
    <row r="129" spans="1:20" s="452" customFormat="1" ht="11.25">
      <c r="A129" s="550"/>
      <c r="B129" s="546" t="s">
        <v>3539</v>
      </c>
      <c r="C129" s="546" t="s">
        <v>3660</v>
      </c>
      <c r="D129" s="445"/>
      <c r="E129" s="445"/>
      <c r="F129" s="454"/>
      <c r="G129" s="552"/>
      <c r="H129" s="199"/>
      <c r="I129" s="455">
        <f>+ROUND('SP Min'!D263,0)</f>
        <v>1653021</v>
      </c>
      <c r="J129" s="508">
        <f>+ROUND('SP Min'!E263,0)</f>
        <v>3167097</v>
      </c>
      <c r="K129" s="519">
        <f t="shared" si="9"/>
        <v>-1514076</v>
      </c>
      <c r="L129" s="462">
        <f t="shared" si="8"/>
        <v>-0.47806429673609618</v>
      </c>
      <c r="M129" s="457"/>
      <c r="Q129" s="469"/>
      <c r="R129" s="469"/>
      <c r="S129" s="469"/>
      <c r="T129" s="469"/>
    </row>
    <row r="130" spans="1:20" s="452" customFormat="1" ht="11.25">
      <c r="A130" s="1027" t="s">
        <v>3621</v>
      </c>
      <c r="B130" s="1028"/>
      <c r="C130" s="1028"/>
      <c r="D130" s="1028"/>
      <c r="E130" s="1028"/>
      <c r="F130" s="1028"/>
      <c r="G130" s="1045"/>
      <c r="H130" s="1028"/>
      <c r="I130" s="488">
        <f>SUM(I125:I129)</f>
        <v>21394434</v>
      </c>
      <c r="J130" s="488">
        <f>SUM(J125:J129)</f>
        <v>24800436</v>
      </c>
      <c r="K130" s="549">
        <f t="shared" si="9"/>
        <v>-3406002</v>
      </c>
      <c r="L130" s="170">
        <f t="shared" si="8"/>
        <v>-0.13733637586048891</v>
      </c>
      <c r="M130" s="457"/>
      <c r="Q130" s="469"/>
      <c r="R130" s="469"/>
      <c r="S130" s="469"/>
      <c r="T130" s="469"/>
    </row>
    <row r="131" spans="1:20" s="452" customFormat="1" ht="11.25">
      <c r="A131" s="550" t="s">
        <v>83</v>
      </c>
      <c r="B131" s="546" t="s">
        <v>3661</v>
      </c>
      <c r="C131" s="546"/>
      <c r="D131" s="445"/>
      <c r="E131" s="445"/>
      <c r="F131" s="454"/>
      <c r="G131" s="551"/>
      <c r="H131" s="199"/>
      <c r="I131" s="508"/>
      <c r="J131" s="508"/>
      <c r="K131" s="456">
        <f t="shared" si="9"/>
        <v>0</v>
      </c>
      <c r="L131" s="183" t="str">
        <f t="shared" si="8"/>
        <v xml:space="preserve">-    </v>
      </c>
      <c r="M131" s="457"/>
      <c r="Q131" s="469"/>
      <c r="R131" s="469"/>
      <c r="S131" s="469"/>
      <c r="T131" s="469"/>
    </row>
    <row r="132" spans="1:20" s="452" customFormat="1" ht="11.25">
      <c r="A132" s="550"/>
      <c r="B132" s="546" t="s">
        <v>85</v>
      </c>
      <c r="C132" s="546" t="s">
        <v>3662</v>
      </c>
      <c r="D132" s="445"/>
      <c r="E132" s="445"/>
      <c r="F132" s="454"/>
      <c r="G132" s="447"/>
      <c r="H132" s="199"/>
      <c r="I132" s="508">
        <f>+ROUND('SP Min'!D272,0)</f>
        <v>0</v>
      </c>
      <c r="J132" s="508">
        <f>+ROUND('SP Min'!E272,0)</f>
        <v>0</v>
      </c>
      <c r="K132" s="519">
        <f t="shared" si="9"/>
        <v>0</v>
      </c>
      <c r="L132" s="462" t="str">
        <f t="shared" si="8"/>
        <v xml:space="preserve">-    </v>
      </c>
      <c r="M132" s="457"/>
      <c r="Q132" s="469"/>
      <c r="R132" s="469"/>
      <c r="S132" s="469"/>
      <c r="T132" s="469"/>
    </row>
    <row r="133" spans="1:20" s="452" customFormat="1" ht="11.25">
      <c r="A133" s="550"/>
      <c r="B133" s="546" t="s">
        <v>87</v>
      </c>
      <c r="C133" s="546" t="s">
        <v>3663</v>
      </c>
      <c r="D133" s="445"/>
      <c r="E133" s="445"/>
      <c r="F133" s="454"/>
      <c r="G133" s="552"/>
      <c r="H133" s="199"/>
      <c r="I133" s="508">
        <f>+ROUND('SP Min'!D273+'SP Min'!D274,0)</f>
        <v>0</v>
      </c>
      <c r="J133" s="508">
        <f>+ROUND('SP Min'!E273+'SP Min'!E274,0)</f>
        <v>0</v>
      </c>
      <c r="K133" s="519">
        <f t="shared" si="9"/>
        <v>0</v>
      </c>
      <c r="L133" s="462" t="str">
        <f t="shared" si="8"/>
        <v xml:space="preserve">-    </v>
      </c>
      <c r="M133" s="457"/>
      <c r="Q133" s="469"/>
      <c r="R133" s="469"/>
      <c r="S133" s="469"/>
      <c r="T133" s="469"/>
    </row>
    <row r="134" spans="1:20" s="452" customFormat="1" ht="11.25">
      <c r="A134" s="1027" t="s">
        <v>3625</v>
      </c>
      <c r="B134" s="1028"/>
      <c r="C134" s="1028"/>
      <c r="D134" s="1028"/>
      <c r="E134" s="1028"/>
      <c r="F134" s="1028"/>
      <c r="G134" s="1030"/>
      <c r="H134" s="1028"/>
      <c r="I134" s="488">
        <f>SUM(I132:I133)</f>
        <v>0</v>
      </c>
      <c r="J134" s="488">
        <f>SUM(J132:J133)</f>
        <v>0</v>
      </c>
      <c r="K134" s="549">
        <f t="shared" si="9"/>
        <v>0</v>
      </c>
      <c r="L134" s="170" t="str">
        <f t="shared" si="8"/>
        <v xml:space="preserve">-    </v>
      </c>
      <c r="M134" s="457"/>
      <c r="Q134" s="469"/>
      <c r="R134" s="469"/>
      <c r="S134" s="469"/>
      <c r="T134" s="469"/>
    </row>
    <row r="135" spans="1:20" s="452" customFormat="1" ht="11.25">
      <c r="A135" s="553" t="s">
        <v>91</v>
      </c>
      <c r="B135" s="194" t="s">
        <v>3664</v>
      </c>
      <c r="C135" s="554"/>
      <c r="D135" s="554"/>
      <c r="E135" s="554"/>
      <c r="F135" s="446"/>
      <c r="G135" s="446"/>
      <c r="H135" s="446"/>
      <c r="I135" s="555"/>
      <c r="J135" s="555"/>
      <c r="K135" s="456">
        <f t="shared" si="9"/>
        <v>0</v>
      </c>
      <c r="L135" s="183" t="str">
        <f t="shared" si="8"/>
        <v xml:space="preserve">-    </v>
      </c>
      <c r="M135" s="457"/>
      <c r="Q135" s="469"/>
      <c r="R135" s="469"/>
      <c r="S135" s="469"/>
      <c r="T135" s="469"/>
    </row>
    <row r="136" spans="1:20" s="452" customFormat="1" ht="11.25">
      <c r="A136" s="443"/>
      <c r="B136" s="445"/>
      <c r="C136" s="445"/>
      <c r="D136" s="445"/>
      <c r="E136" s="445"/>
      <c r="F136" s="194"/>
      <c r="G136" s="556" t="s">
        <v>3561</v>
      </c>
      <c r="H136" s="557" t="s">
        <v>3562</v>
      </c>
      <c r="I136" s="558"/>
      <c r="J136" s="558"/>
      <c r="K136" s="456">
        <f t="shared" si="9"/>
        <v>0</v>
      </c>
      <c r="L136" s="183" t="str">
        <f t="shared" si="8"/>
        <v xml:space="preserve">-    </v>
      </c>
      <c r="M136" s="457"/>
      <c r="Q136" s="469"/>
      <c r="R136" s="469"/>
      <c r="S136" s="469"/>
      <c r="T136" s="469"/>
    </row>
    <row r="137" spans="1:20" s="452" customFormat="1" ht="11.25">
      <c r="A137" s="443"/>
      <c r="B137" s="546" t="s">
        <v>85</v>
      </c>
      <c r="C137" s="194" t="s">
        <v>3665</v>
      </c>
      <c r="D137" s="445"/>
      <c r="E137" s="445"/>
      <c r="F137" s="194"/>
      <c r="G137" s="200"/>
      <c r="H137" s="199"/>
      <c r="I137" s="508">
        <f>+ROUND('SP Min'!D276,0)</f>
        <v>0</v>
      </c>
      <c r="J137" s="508">
        <f>+ROUND('SP Min'!E276,0)</f>
        <v>0</v>
      </c>
      <c r="K137" s="519">
        <f t="shared" si="9"/>
        <v>0</v>
      </c>
      <c r="L137" s="462" t="str">
        <f t="shared" si="8"/>
        <v xml:space="preserve">-    </v>
      </c>
      <c r="M137" s="457"/>
      <c r="Q137" s="469"/>
      <c r="R137" s="469"/>
      <c r="S137" s="469"/>
      <c r="T137" s="469"/>
    </row>
    <row r="138" spans="1:20" s="452" customFormat="1" ht="11.25">
      <c r="A138" s="443"/>
      <c r="B138" s="546" t="s">
        <v>87</v>
      </c>
      <c r="C138" s="559" t="s">
        <v>3666</v>
      </c>
      <c r="D138" s="445"/>
      <c r="E138" s="445"/>
      <c r="F138" s="446"/>
      <c r="G138" s="200"/>
      <c r="H138" s="200"/>
      <c r="I138" s="508">
        <f>+ROUND('SP Min'!D277,0)</f>
        <v>0</v>
      </c>
      <c r="J138" s="508">
        <f>+ROUND('SP Min'!E277,0)</f>
        <v>0</v>
      </c>
      <c r="K138" s="519">
        <f t="shared" si="9"/>
        <v>0</v>
      </c>
      <c r="L138" s="462" t="str">
        <f t="shared" si="8"/>
        <v xml:space="preserve">-    </v>
      </c>
      <c r="M138" s="457"/>
      <c r="Q138" s="469"/>
      <c r="R138" s="469"/>
      <c r="S138" s="469"/>
      <c r="T138" s="469"/>
    </row>
    <row r="139" spans="1:20" s="452" customFormat="1" ht="11.25">
      <c r="A139" s="443"/>
      <c r="B139" s="546" t="s">
        <v>115</v>
      </c>
      <c r="C139" s="194" t="s">
        <v>3667</v>
      </c>
      <c r="D139" s="445"/>
      <c r="E139" s="445"/>
      <c r="F139" s="446"/>
      <c r="G139" s="560">
        <v>15626</v>
      </c>
      <c r="H139" s="195"/>
      <c r="I139" s="508">
        <f>+ROUND('SP Min'!D283,0)</f>
        <v>15626</v>
      </c>
      <c r="J139" s="508">
        <f>+ROUND('SP Min'!E283,0)</f>
        <v>0</v>
      </c>
      <c r="K139" s="519">
        <f t="shared" si="9"/>
        <v>15626</v>
      </c>
      <c r="L139" s="462" t="str">
        <f t="shared" si="8"/>
        <v xml:space="preserve">-    </v>
      </c>
      <c r="M139" s="457"/>
      <c r="Q139" s="469"/>
      <c r="R139" s="469"/>
      <c r="S139" s="469"/>
      <c r="T139" s="469"/>
    </row>
    <row r="140" spans="1:20" s="452" customFormat="1" ht="11.25">
      <c r="A140" s="443"/>
      <c r="B140" s="546" t="s">
        <v>3537</v>
      </c>
      <c r="C140" s="559" t="s">
        <v>3668</v>
      </c>
      <c r="D140" s="445"/>
      <c r="E140" s="445"/>
      <c r="F140" s="194"/>
      <c r="G140" s="560"/>
      <c r="H140" s="483"/>
      <c r="I140" s="508">
        <f>+ROUND('SP Min'!D294,0)</f>
        <v>0</v>
      </c>
      <c r="J140" s="508">
        <f>+ROUND('SP Min'!E294,0)</f>
        <v>0</v>
      </c>
      <c r="K140" s="519">
        <f>+I140-J140</f>
        <v>0</v>
      </c>
      <c r="L140" s="462" t="str">
        <f t="shared" si="8"/>
        <v xml:space="preserve">-    </v>
      </c>
      <c r="M140" s="457"/>
      <c r="Q140" s="469"/>
      <c r="R140" s="469"/>
      <c r="S140" s="469"/>
      <c r="T140" s="469"/>
    </row>
    <row r="141" spans="1:20" s="452" customFormat="1" ht="11.25">
      <c r="A141" s="443"/>
      <c r="B141" s="546" t="s">
        <v>3539</v>
      </c>
      <c r="C141" s="194" t="s">
        <v>3669</v>
      </c>
      <c r="D141" s="445"/>
      <c r="E141" s="445"/>
      <c r="F141" s="446"/>
      <c r="G141" s="560">
        <f>+G142+G143+G144+G145+G146+G147</f>
        <v>9417115</v>
      </c>
      <c r="H141" s="560">
        <f>+H142+H143+H144+H145+H146+H147</f>
        <v>0</v>
      </c>
      <c r="I141" s="561">
        <f>I142+I143+I144+I145+I146+I147</f>
        <v>9417115</v>
      </c>
      <c r="J141" s="543">
        <f>J142+J143+J144+J145+J146+J147</f>
        <v>9352562</v>
      </c>
      <c r="K141" s="519">
        <f t="shared" si="9"/>
        <v>64553</v>
      </c>
      <c r="L141" s="462">
        <f t="shared" si="8"/>
        <v>6.9021729019278352E-3</v>
      </c>
      <c r="M141" s="457"/>
      <c r="Q141" s="469"/>
      <c r="R141" s="469"/>
      <c r="S141" s="469"/>
      <c r="T141" s="469"/>
    </row>
    <row r="142" spans="1:20" s="463" customFormat="1" ht="18" customHeight="1">
      <c r="A142" s="443"/>
      <c r="B142" s="445"/>
      <c r="C142" s="459" t="s">
        <v>3543</v>
      </c>
      <c r="D142" s="1031" t="s">
        <v>3670</v>
      </c>
      <c r="E142" s="1031"/>
      <c r="F142" s="1032"/>
      <c r="G142" s="562">
        <v>3772448</v>
      </c>
      <c r="H142" s="563"/>
      <c r="I142" s="506">
        <f>+ROUND('SP Min'!D297+'SP Min'!D300+'SP Min'!D301+'SP Min'!D304+'SP Min'!D305,0)</f>
        <v>3772448</v>
      </c>
      <c r="J142" s="506">
        <f>+ROUND('SP Min'!E297+'SP Min'!E300+'SP Min'!E301+'SP Min'!E304+'SP Min'!E305,0)</f>
        <v>2967195</v>
      </c>
      <c r="K142" s="519">
        <f t="shared" si="9"/>
        <v>805253</v>
      </c>
      <c r="L142" s="462">
        <f t="shared" si="8"/>
        <v>0.2713852645343498</v>
      </c>
      <c r="M142" s="457"/>
      <c r="Q142" s="467"/>
      <c r="R142" s="467"/>
      <c r="S142" s="467"/>
      <c r="T142" s="467"/>
    </row>
    <row r="143" spans="1:20" s="463" customFormat="1" ht="22.5" customHeight="1">
      <c r="A143" s="443"/>
      <c r="B143" s="445"/>
      <c r="C143" s="459" t="s">
        <v>3545</v>
      </c>
      <c r="D143" s="1031" t="s">
        <v>3671</v>
      </c>
      <c r="E143" s="1031"/>
      <c r="F143" s="1032"/>
      <c r="G143" s="519"/>
      <c r="H143" s="563"/>
      <c r="I143" s="506">
        <f>+ROUND('SP Min'!D298,0)</f>
        <v>0</v>
      </c>
      <c r="J143" s="506">
        <f>+ROUND('SP Min'!E298,0)</f>
        <v>0</v>
      </c>
      <c r="K143" s="519">
        <f t="shared" si="9"/>
        <v>0</v>
      </c>
      <c r="L143" s="462" t="str">
        <f t="shared" si="8"/>
        <v xml:space="preserve">-    </v>
      </c>
      <c r="M143" s="457"/>
      <c r="Q143" s="467"/>
      <c r="R143" s="467"/>
      <c r="S143" s="467"/>
      <c r="T143" s="467"/>
    </row>
    <row r="144" spans="1:20" s="463" customFormat="1" ht="22.5" customHeight="1">
      <c r="A144" s="443"/>
      <c r="B144" s="445"/>
      <c r="C144" s="459" t="s">
        <v>3567</v>
      </c>
      <c r="D144" s="1031" t="s">
        <v>3672</v>
      </c>
      <c r="E144" s="1031"/>
      <c r="F144" s="1032"/>
      <c r="G144" s="519"/>
      <c r="H144" s="563"/>
      <c r="I144" s="506">
        <f>+ROUND('SP Min'!D299,0)</f>
        <v>0</v>
      </c>
      <c r="J144" s="506">
        <f>+ROUND('SP Min'!E299,0)</f>
        <v>0</v>
      </c>
      <c r="K144" s="519">
        <f t="shared" si="9"/>
        <v>0</v>
      </c>
      <c r="L144" s="462" t="str">
        <f t="shared" si="8"/>
        <v xml:space="preserve">-    </v>
      </c>
      <c r="M144" s="457"/>
      <c r="Q144" s="467"/>
      <c r="R144" s="467"/>
      <c r="S144" s="467"/>
      <c r="T144" s="467"/>
    </row>
    <row r="145" spans="1:20" s="463" customFormat="1" ht="11.25">
      <c r="A145" s="443"/>
      <c r="B145" s="445"/>
      <c r="C145" s="459" t="s">
        <v>3569</v>
      </c>
      <c r="D145" s="1031" t="s">
        <v>3673</v>
      </c>
      <c r="E145" s="1031"/>
      <c r="F145" s="1032"/>
      <c r="G145" s="562">
        <v>5494678</v>
      </c>
      <c r="H145" s="563"/>
      <c r="I145" s="466">
        <f>+ROUND('SP Min'!D302+'SP Min'!D303,0)</f>
        <v>5494678</v>
      </c>
      <c r="J145" s="506">
        <f>+ROUND('SP Min'!E302+'SP Min'!E303,0)</f>
        <v>6284993</v>
      </c>
      <c r="K145" s="519">
        <f t="shared" si="9"/>
        <v>-790315</v>
      </c>
      <c r="L145" s="462">
        <f t="shared" si="8"/>
        <v>-0.12574636121313101</v>
      </c>
      <c r="M145" s="457"/>
      <c r="Q145" s="467"/>
      <c r="R145" s="467"/>
      <c r="S145" s="467"/>
      <c r="T145" s="467"/>
    </row>
    <row r="146" spans="1:20" s="463" customFormat="1" ht="21.6" customHeight="1">
      <c r="A146" s="443"/>
      <c r="B146" s="445"/>
      <c r="C146" s="459" t="s">
        <v>3674</v>
      </c>
      <c r="D146" s="1031" t="s">
        <v>3675</v>
      </c>
      <c r="E146" s="1031"/>
      <c r="F146" s="1032"/>
      <c r="G146" s="562"/>
      <c r="H146" s="563"/>
      <c r="I146" s="506">
        <f>+ROUND('SP Min'!D307,0)</f>
        <v>0</v>
      </c>
      <c r="J146" s="506">
        <f>+ROUND('SP Min'!E307,0)</f>
        <v>0</v>
      </c>
      <c r="K146" s="519">
        <f t="shared" si="9"/>
        <v>0</v>
      </c>
      <c r="L146" s="462" t="str">
        <f t="shared" si="8"/>
        <v xml:space="preserve">-    </v>
      </c>
      <c r="M146" s="457"/>
      <c r="Q146" s="467"/>
      <c r="R146" s="467"/>
      <c r="S146" s="467"/>
      <c r="T146" s="467"/>
    </row>
    <row r="147" spans="1:20" s="463" customFormat="1" ht="11.25">
      <c r="A147" s="443"/>
      <c r="B147" s="445"/>
      <c r="C147" s="459" t="s">
        <v>3676</v>
      </c>
      <c r="D147" s="1031" t="s">
        <v>3677</v>
      </c>
      <c r="E147" s="1031"/>
      <c r="F147" s="1032"/>
      <c r="G147" s="562">
        <v>149989</v>
      </c>
      <c r="H147" s="563"/>
      <c r="I147" s="506">
        <f>+ROUND('SP Min'!D306,0)</f>
        <v>149989</v>
      </c>
      <c r="J147" s="506">
        <f>+ROUND('SP Min'!E306,0)</f>
        <v>100374</v>
      </c>
      <c r="K147" s="519">
        <f t="shared" si="9"/>
        <v>49615</v>
      </c>
      <c r="L147" s="462">
        <f t="shared" si="8"/>
        <v>0.49430131308904696</v>
      </c>
      <c r="M147" s="457"/>
      <c r="Q147" s="467"/>
      <c r="R147" s="467"/>
      <c r="S147" s="467"/>
      <c r="T147" s="467"/>
    </row>
    <row r="148" spans="1:20" s="452" customFormat="1" ht="11.25">
      <c r="A148" s="443"/>
      <c r="B148" s="546" t="s">
        <v>3553</v>
      </c>
      <c r="C148" s="546" t="s">
        <v>3678</v>
      </c>
      <c r="D148" s="546"/>
      <c r="E148" s="445"/>
      <c r="F148" s="194"/>
      <c r="G148" s="560">
        <v>77</v>
      </c>
      <c r="H148" s="199"/>
      <c r="I148" s="508">
        <f>+ROUND('SP Min'!D313,0)</f>
        <v>77</v>
      </c>
      <c r="J148" s="508">
        <f>+ROUND('SP Min'!E313,0)</f>
        <v>77</v>
      </c>
      <c r="K148" s="456">
        <f t="shared" si="9"/>
        <v>0</v>
      </c>
      <c r="L148" s="451">
        <f t="shared" si="8"/>
        <v>0</v>
      </c>
      <c r="M148" s="457"/>
      <c r="Q148" s="469"/>
      <c r="R148" s="469"/>
      <c r="S148" s="469"/>
      <c r="T148" s="469"/>
    </row>
    <row r="149" spans="1:20" s="452" customFormat="1" ht="11.25">
      <c r="A149" s="443"/>
      <c r="B149" s="546" t="s">
        <v>3555</v>
      </c>
      <c r="C149" s="194" t="s">
        <v>3679</v>
      </c>
      <c r="D149" s="546"/>
      <c r="E149" s="445"/>
      <c r="F149" s="194"/>
      <c r="G149" s="560">
        <v>8963304</v>
      </c>
      <c r="H149" s="198"/>
      <c r="I149" s="455">
        <f>+ROUND('SP Min'!D317,0)</f>
        <v>8963304</v>
      </c>
      <c r="J149" s="508">
        <f>+ROUND('SP Min'!E317,0)</f>
        <v>10626764</v>
      </c>
      <c r="K149" s="456">
        <f t="shared" si="9"/>
        <v>-1663460</v>
      </c>
      <c r="L149" s="451">
        <f t="shared" si="8"/>
        <v>-0.1565349526911485</v>
      </c>
      <c r="M149" s="457"/>
      <c r="Q149" s="469"/>
      <c r="R149" s="469"/>
      <c r="S149" s="469"/>
      <c r="T149" s="469"/>
    </row>
    <row r="150" spans="1:20" s="452" customFormat="1" ht="11.25">
      <c r="A150" s="443"/>
      <c r="B150" s="546" t="s">
        <v>3557</v>
      </c>
      <c r="C150" s="194" t="s">
        <v>3680</v>
      </c>
      <c r="D150" s="546"/>
      <c r="E150" s="445"/>
      <c r="F150" s="194"/>
      <c r="G150" s="562"/>
      <c r="H150" s="199"/>
      <c r="I150" s="455">
        <f>+ROUND('SP Min'!D324,0)</f>
        <v>0</v>
      </c>
      <c r="J150" s="508">
        <f>+ROUND('SP Min'!E324,0)</f>
        <v>0</v>
      </c>
      <c r="K150" s="456">
        <f t="shared" si="9"/>
        <v>0</v>
      </c>
      <c r="L150" s="451" t="str">
        <f t="shared" si="8"/>
        <v xml:space="preserve">-    </v>
      </c>
      <c r="M150" s="457"/>
      <c r="Q150" s="469"/>
      <c r="R150" s="469"/>
      <c r="S150" s="469"/>
      <c r="T150" s="469"/>
    </row>
    <row r="151" spans="1:20" s="452" customFormat="1" ht="11.25">
      <c r="A151" s="443"/>
      <c r="B151" s="546" t="s">
        <v>3559</v>
      </c>
      <c r="C151" s="194" t="s">
        <v>3681</v>
      </c>
      <c r="D151" s="546"/>
      <c r="E151" s="445"/>
      <c r="F151" s="564"/>
      <c r="G151" s="560">
        <v>2391236</v>
      </c>
      <c r="H151" s="199"/>
      <c r="I151" s="455">
        <f>+ROUND('SP Min'!D325,0)</f>
        <v>2391236</v>
      </c>
      <c r="J151" s="508">
        <f>+ROUND('SP Min'!E325,0)</f>
        <v>2198117</v>
      </c>
      <c r="K151" s="456">
        <f t="shared" si="9"/>
        <v>193119</v>
      </c>
      <c r="L151" s="451">
        <f t="shared" si="8"/>
        <v>8.7856560865504432E-2</v>
      </c>
      <c r="M151" s="457"/>
      <c r="Q151" s="469"/>
      <c r="R151" s="469"/>
      <c r="S151" s="469"/>
      <c r="T151" s="469"/>
    </row>
    <row r="152" spans="1:20" s="452" customFormat="1" ht="11.25">
      <c r="A152" s="565"/>
      <c r="B152" s="566" t="s">
        <v>3682</v>
      </c>
      <c r="C152" s="194" t="s">
        <v>3683</v>
      </c>
      <c r="D152" s="566"/>
      <c r="E152" s="431"/>
      <c r="F152" s="564"/>
      <c r="G152" s="562"/>
      <c r="H152" s="197"/>
      <c r="I152" s="455">
        <f>+ROUND('SP Min'!D328,0)</f>
        <v>0</v>
      </c>
      <c r="J152" s="508">
        <f>+ROUND('SP Min'!E328,0)</f>
        <v>0</v>
      </c>
      <c r="K152" s="456">
        <f t="shared" si="9"/>
        <v>0</v>
      </c>
      <c r="L152" s="451" t="str">
        <f t="shared" si="8"/>
        <v xml:space="preserve">-    </v>
      </c>
      <c r="M152" s="457"/>
      <c r="Q152" s="469"/>
      <c r="R152" s="469"/>
      <c r="S152" s="469"/>
      <c r="T152" s="469"/>
    </row>
    <row r="153" spans="1:20" s="452" customFormat="1" ht="11.25">
      <c r="A153" s="443"/>
      <c r="B153" s="546" t="s">
        <v>3684</v>
      </c>
      <c r="C153" s="194" t="s">
        <v>3685</v>
      </c>
      <c r="D153" s="546"/>
      <c r="E153" s="445"/>
      <c r="F153" s="194"/>
      <c r="G153" s="560">
        <v>2061812</v>
      </c>
      <c r="H153" s="199"/>
      <c r="I153" s="455">
        <f>+ROUND(+'SP Min'!D326,0)</f>
        <v>2061812</v>
      </c>
      <c r="J153" s="508">
        <f>+ROUND(+'SP Min'!E326,0)</f>
        <v>1882677</v>
      </c>
      <c r="K153" s="456">
        <f t="shared" si="9"/>
        <v>179135</v>
      </c>
      <c r="L153" s="451">
        <f t="shared" si="8"/>
        <v>9.5149088239777718E-2</v>
      </c>
      <c r="M153" s="457"/>
      <c r="Q153" s="469"/>
      <c r="R153" s="469"/>
      <c r="S153" s="469"/>
      <c r="T153" s="469"/>
    </row>
    <row r="154" spans="1:20" s="452" customFormat="1" ht="11.25">
      <c r="A154" s="443"/>
      <c r="B154" s="546" t="s">
        <v>3686</v>
      </c>
      <c r="C154" s="194" t="s">
        <v>3687</v>
      </c>
      <c r="D154" s="546"/>
      <c r="E154" s="445"/>
      <c r="F154" s="446"/>
      <c r="G154" s="567">
        <v>5913796</v>
      </c>
      <c r="H154" s="568"/>
      <c r="I154" s="455">
        <f>+ROUND('SP Min'!D331+'SP Min'!D329+'SP Min'!D330,0)</f>
        <v>5913796</v>
      </c>
      <c r="J154" s="508">
        <f>+ROUND('SP Min'!E331+'SP Min'!E329+'SP Min'!E330,0)</f>
        <v>4709211</v>
      </c>
      <c r="K154" s="456">
        <f t="shared" si="9"/>
        <v>1204585</v>
      </c>
      <c r="L154" s="451">
        <f t="shared" si="8"/>
        <v>0.25579338024989751</v>
      </c>
      <c r="M154" s="457"/>
      <c r="Q154" s="469"/>
      <c r="R154" s="469"/>
      <c r="S154" s="469"/>
      <c r="T154" s="469"/>
    </row>
    <row r="155" spans="1:20" s="452" customFormat="1" ht="11.25">
      <c r="A155" s="1046" t="s">
        <v>3633</v>
      </c>
      <c r="B155" s="1047"/>
      <c r="C155" s="1047"/>
      <c r="D155" s="1047"/>
      <c r="E155" s="1047"/>
      <c r="F155" s="1047"/>
      <c r="G155" s="1048"/>
      <c r="H155" s="1049"/>
      <c r="I155" s="488">
        <f>SUM(I137:I141)+SUM(I148:I154)</f>
        <v>28762966</v>
      </c>
      <c r="J155" s="488">
        <f>SUM(J137:J141)+SUM(J148:J154)</f>
        <v>28769408</v>
      </c>
      <c r="K155" s="549">
        <f t="shared" si="9"/>
        <v>-6442</v>
      </c>
      <c r="L155" s="170">
        <f t="shared" si="8"/>
        <v>-2.2391840666307768E-4</v>
      </c>
      <c r="M155" s="457"/>
      <c r="Q155" s="469"/>
      <c r="R155" s="469"/>
      <c r="S155" s="469"/>
      <c r="T155" s="469"/>
    </row>
    <row r="156" spans="1:20" s="452" customFormat="1" ht="11.25">
      <c r="A156" s="550" t="s">
        <v>96</v>
      </c>
      <c r="B156" s="194" t="s">
        <v>3688</v>
      </c>
      <c r="C156" s="546"/>
      <c r="D156" s="546"/>
      <c r="E156" s="445"/>
      <c r="F156" s="446"/>
      <c r="G156" s="551"/>
      <c r="H156" s="199"/>
      <c r="I156" s="543"/>
      <c r="J156" s="543"/>
      <c r="K156" s="456">
        <f t="shared" si="9"/>
        <v>0</v>
      </c>
      <c r="L156" s="183" t="str">
        <f t="shared" si="8"/>
        <v xml:space="preserve">-    </v>
      </c>
      <c r="M156" s="457"/>
      <c r="Q156" s="469"/>
      <c r="R156" s="469"/>
      <c r="S156" s="469"/>
      <c r="T156" s="469"/>
    </row>
    <row r="157" spans="1:20" s="452" customFormat="1" ht="11.25">
      <c r="A157" s="550"/>
      <c r="B157" s="546" t="s">
        <v>85</v>
      </c>
      <c r="C157" s="194" t="s">
        <v>3689</v>
      </c>
      <c r="D157" s="546"/>
      <c r="E157" s="445"/>
      <c r="F157" s="454"/>
      <c r="G157" s="447"/>
      <c r="H157" s="199"/>
      <c r="I157" s="508">
        <f>+ROUND(+'SP Min'!D333,0)</f>
        <v>15795</v>
      </c>
      <c r="J157" s="508">
        <f>+ROUND(+'SP Min'!E333,0)</f>
        <v>0</v>
      </c>
      <c r="K157" s="519">
        <f t="shared" si="9"/>
        <v>15795</v>
      </c>
      <c r="L157" s="462" t="str">
        <f t="shared" si="8"/>
        <v xml:space="preserve">-    </v>
      </c>
      <c r="M157" s="457"/>
      <c r="Q157" s="469"/>
      <c r="R157" s="469"/>
      <c r="S157" s="469"/>
      <c r="T157" s="469"/>
    </row>
    <row r="158" spans="1:20" s="452" customFormat="1" ht="11.25">
      <c r="A158" s="550"/>
      <c r="B158" s="546" t="s">
        <v>87</v>
      </c>
      <c r="C158" s="194" t="s">
        <v>3690</v>
      </c>
      <c r="D158" s="546"/>
      <c r="E158" s="445"/>
      <c r="F158" s="446"/>
      <c r="G158" s="552"/>
      <c r="H158" s="199"/>
      <c r="I158" s="508">
        <f>+ROUND(+'SP Min'!D336,0)</f>
        <v>0</v>
      </c>
      <c r="J158" s="508">
        <f>+ROUND(+'SP Min'!E336,0)</f>
        <v>0</v>
      </c>
      <c r="K158" s="519">
        <f t="shared" si="9"/>
        <v>0</v>
      </c>
      <c r="L158" s="462" t="str">
        <f t="shared" si="8"/>
        <v xml:space="preserve">-    </v>
      </c>
      <c r="M158" s="457"/>
      <c r="Q158" s="469"/>
      <c r="R158" s="469"/>
      <c r="S158" s="469"/>
      <c r="T158" s="469"/>
    </row>
    <row r="159" spans="1:20" s="452" customFormat="1" ht="11.25">
      <c r="A159" s="1046" t="s">
        <v>3691</v>
      </c>
      <c r="B159" s="1047"/>
      <c r="C159" s="1047"/>
      <c r="D159" s="1047"/>
      <c r="E159" s="1047"/>
      <c r="F159" s="1047"/>
      <c r="G159" s="1050"/>
      <c r="H159" s="1049"/>
      <c r="I159" s="488">
        <f>SUM(I157:I158)</f>
        <v>15795</v>
      </c>
      <c r="J159" s="488">
        <f>SUM(J157:J158)</f>
        <v>0</v>
      </c>
      <c r="K159" s="549">
        <f t="shared" si="9"/>
        <v>15795</v>
      </c>
      <c r="L159" s="170" t="str">
        <f t="shared" si="8"/>
        <v xml:space="preserve">-    </v>
      </c>
      <c r="M159" s="457"/>
      <c r="Q159" s="469"/>
      <c r="R159" s="469"/>
      <c r="S159" s="469"/>
      <c r="T159" s="469"/>
    </row>
    <row r="160" spans="1:20" s="452" customFormat="1" ht="12" thickBot="1">
      <c r="A160" s="443"/>
      <c r="B160" s="445"/>
      <c r="C160" s="445"/>
      <c r="D160" s="445"/>
      <c r="E160" s="445"/>
      <c r="F160" s="454"/>
      <c r="G160" s="551"/>
      <c r="H160" s="199"/>
      <c r="I160" s="543"/>
      <c r="J160" s="543"/>
      <c r="K160" s="456">
        <f t="shared" si="9"/>
        <v>0</v>
      </c>
      <c r="L160" s="183" t="str">
        <f t="shared" si="8"/>
        <v xml:space="preserve">-    </v>
      </c>
      <c r="M160" s="457"/>
      <c r="Q160" s="469"/>
      <c r="R160" s="469"/>
      <c r="S160" s="469"/>
      <c r="T160" s="469"/>
    </row>
    <row r="161" spans="1:20" s="452" customFormat="1" ht="12" thickBot="1">
      <c r="A161" s="1007" t="s">
        <v>3692</v>
      </c>
      <c r="B161" s="1008"/>
      <c r="C161" s="1008"/>
      <c r="D161" s="1008"/>
      <c r="E161" s="1008"/>
      <c r="F161" s="1008"/>
      <c r="G161" s="1008"/>
      <c r="H161" s="1051"/>
      <c r="I161" s="520">
        <f>I123+I130+I134+I155+I159</f>
        <v>113493994</v>
      </c>
      <c r="J161" s="520">
        <f>J123+J130+J134+J155+J159</f>
        <v>111563634</v>
      </c>
      <c r="K161" s="569">
        <f t="shared" si="9"/>
        <v>1930360</v>
      </c>
      <c r="L161" s="171">
        <f t="shared" si="8"/>
        <v>1.7302770901134325E-2</v>
      </c>
      <c r="M161" s="457"/>
      <c r="N161" s="931"/>
      <c r="O161" s="931"/>
      <c r="Q161" s="469"/>
      <c r="R161" s="469"/>
      <c r="S161" s="469"/>
      <c r="T161" s="469"/>
    </row>
    <row r="162" spans="1:20" s="452" customFormat="1" ht="11.25">
      <c r="A162" s="550" t="s">
        <v>3693</v>
      </c>
      <c r="B162" s="194" t="s">
        <v>3627</v>
      </c>
      <c r="C162" s="546"/>
      <c r="D162" s="546"/>
      <c r="E162" s="546"/>
      <c r="F162" s="566"/>
      <c r="G162" s="496"/>
      <c r="H162" s="514"/>
      <c r="I162" s="515"/>
      <c r="J162" s="515"/>
      <c r="K162" s="456" t="s">
        <v>3694</v>
      </c>
      <c r="L162" s="183" t="s">
        <v>3694</v>
      </c>
      <c r="M162" s="457"/>
      <c r="Q162" s="469"/>
      <c r="R162" s="469"/>
      <c r="S162" s="469"/>
      <c r="T162" s="469"/>
    </row>
    <row r="163" spans="1:20" s="452" customFormat="1" ht="11.25">
      <c r="A163" s="550"/>
      <c r="B163" s="546" t="s">
        <v>3628</v>
      </c>
      <c r="C163" s="194" t="s">
        <v>3629</v>
      </c>
      <c r="D163" s="546"/>
      <c r="E163" s="546"/>
      <c r="F163" s="454"/>
      <c r="G163" s="496"/>
      <c r="H163" s="514"/>
      <c r="I163" s="508">
        <f>+ROUND(+'SP Min'!D342,0)</f>
        <v>66479</v>
      </c>
      <c r="J163" s="508">
        <f>+ROUND(+'SP Min'!E342,0)</f>
        <v>116759</v>
      </c>
      <c r="K163" s="519">
        <f t="shared" si="9"/>
        <v>-50280</v>
      </c>
      <c r="L163" s="462">
        <f t="shared" si="8"/>
        <v>-0.43063061519882834</v>
      </c>
      <c r="M163" s="457"/>
      <c r="Q163" s="469"/>
      <c r="R163" s="469"/>
      <c r="S163" s="469"/>
      <c r="T163" s="469"/>
    </row>
    <row r="164" spans="1:20" s="452" customFormat="1" ht="11.25">
      <c r="A164" s="550"/>
      <c r="B164" s="546" t="s">
        <v>87</v>
      </c>
      <c r="C164" s="454" t="s">
        <v>3630</v>
      </c>
      <c r="D164" s="546"/>
      <c r="E164" s="546"/>
      <c r="F164" s="566"/>
      <c r="G164" s="496"/>
      <c r="H164" s="514"/>
      <c r="I164" s="508">
        <f>+ROUND(+'SP Min'!D343,0)</f>
        <v>0</v>
      </c>
      <c r="J164" s="508">
        <f>+ROUND(+'SP Min'!E343,0)</f>
        <v>0</v>
      </c>
      <c r="K164" s="519">
        <f t="shared" si="9"/>
        <v>0</v>
      </c>
      <c r="L164" s="462" t="str">
        <f t="shared" si="8"/>
        <v xml:space="preserve">-    </v>
      </c>
      <c r="M164" s="457"/>
      <c r="Q164" s="469"/>
      <c r="R164" s="469"/>
      <c r="S164" s="469"/>
      <c r="T164" s="469"/>
    </row>
    <row r="165" spans="1:20" s="452" customFormat="1" ht="11.25">
      <c r="A165" s="550"/>
      <c r="B165" s="454" t="s">
        <v>115</v>
      </c>
      <c r="C165" s="546" t="s">
        <v>3631</v>
      </c>
      <c r="D165" s="546"/>
      <c r="E165" s="546"/>
      <c r="F165" s="566"/>
      <c r="G165" s="496"/>
      <c r="H165" s="514"/>
      <c r="I165" s="508">
        <f>+ROUND(+'SP Min'!D344,0)</f>
        <v>1463350</v>
      </c>
      <c r="J165" s="508">
        <f>+ROUND(+'SP Min'!E344,0)</f>
        <v>0</v>
      </c>
      <c r="K165" s="519">
        <f t="shared" si="9"/>
        <v>1463350</v>
      </c>
      <c r="L165" s="462" t="str">
        <f t="shared" si="8"/>
        <v xml:space="preserve">-    </v>
      </c>
      <c r="M165" s="457"/>
      <c r="Q165" s="469"/>
      <c r="R165" s="469"/>
      <c r="S165" s="469"/>
      <c r="T165" s="469"/>
    </row>
    <row r="166" spans="1:20" s="452" customFormat="1" ht="11.25">
      <c r="A166" s="550"/>
      <c r="B166" s="546" t="s">
        <v>3537</v>
      </c>
      <c r="C166" s="194" t="s">
        <v>3632</v>
      </c>
      <c r="D166" s="546"/>
      <c r="E166" s="546"/>
      <c r="F166" s="454"/>
      <c r="G166" s="516"/>
      <c r="H166" s="514"/>
      <c r="I166" s="508">
        <f>+ROUND(+'SP Min'!D345+'SP Min'!D346,0)</f>
        <v>1277134</v>
      </c>
      <c r="J166" s="508">
        <f>+ROUND(+'SP Min'!E345+'SP Min'!E346,0)</f>
        <v>2781638</v>
      </c>
      <c r="K166" s="519">
        <f t="shared" si="9"/>
        <v>-1504504</v>
      </c>
      <c r="L166" s="462">
        <f t="shared" si="8"/>
        <v>-0.54086980405070684</v>
      </c>
      <c r="M166" s="457"/>
      <c r="Q166" s="469"/>
      <c r="R166" s="469"/>
      <c r="S166" s="469"/>
      <c r="T166" s="469"/>
    </row>
    <row r="167" spans="1:20" s="452" customFormat="1" ht="12" thickBot="1">
      <c r="A167" s="1033" t="s">
        <v>3695</v>
      </c>
      <c r="B167" s="1034"/>
      <c r="C167" s="1034"/>
      <c r="D167" s="1034"/>
      <c r="E167" s="1034"/>
      <c r="F167" s="1034"/>
      <c r="G167" s="1035"/>
      <c r="H167" s="1036"/>
      <c r="I167" s="523">
        <f>SUM(I163:I166)</f>
        <v>2806963</v>
      </c>
      <c r="J167" s="523">
        <f>SUM(J163:J166)</f>
        <v>2898397</v>
      </c>
      <c r="K167" s="524">
        <f t="shared" si="9"/>
        <v>-91434</v>
      </c>
      <c r="L167" s="525">
        <f t="shared" si="8"/>
        <v>-3.1546403063486474E-2</v>
      </c>
      <c r="M167" s="457"/>
      <c r="Q167" s="469"/>
      <c r="R167" s="469"/>
      <c r="S167" s="469"/>
      <c r="T167" s="469"/>
    </row>
    <row r="168" spans="1:20" s="463" customFormat="1" ht="11.25">
      <c r="A168" s="570"/>
      <c r="B168" s="570"/>
      <c r="C168" s="570"/>
      <c r="D168" s="570"/>
      <c r="E168" s="570"/>
      <c r="I168" s="571"/>
      <c r="J168" s="571"/>
      <c r="K168" s="572"/>
      <c r="L168" s="573"/>
    </row>
    <row r="169" spans="1:20" s="463" customFormat="1" ht="11.25">
      <c r="A169" s="570"/>
      <c r="B169" s="570"/>
      <c r="C169" s="570"/>
      <c r="D169" s="570"/>
      <c r="E169" s="570"/>
      <c r="F169" s="574" t="s">
        <v>3694</v>
      </c>
      <c r="I169" s="571"/>
      <c r="J169" s="571"/>
      <c r="K169" s="572"/>
      <c r="L169" s="573"/>
    </row>
    <row r="170" spans="1:20" s="463" customFormat="1" ht="11.25">
      <c r="A170" s="570"/>
      <c r="B170" s="570"/>
      <c r="C170" s="570"/>
      <c r="D170" s="570"/>
      <c r="E170" s="570"/>
      <c r="I170" s="571"/>
      <c r="J170" s="571"/>
      <c r="K170" s="572"/>
      <c r="L170" s="573"/>
    </row>
    <row r="171" spans="1:20" s="463" customFormat="1" ht="11.25">
      <c r="A171" s="570"/>
      <c r="B171" s="570"/>
      <c r="C171" s="570"/>
      <c r="D171" s="570"/>
      <c r="E171" s="570"/>
      <c r="I171" s="571"/>
      <c r="J171" s="571"/>
      <c r="K171" s="572"/>
      <c r="L171" s="573"/>
    </row>
    <row r="172" spans="1:20" s="463" customFormat="1" ht="11.25">
      <c r="A172" s="570"/>
      <c r="B172" s="570"/>
      <c r="C172" s="570"/>
      <c r="D172" s="570"/>
      <c r="E172" s="570"/>
      <c r="I172" s="571"/>
      <c r="J172" s="571"/>
      <c r="K172" s="572"/>
      <c r="L172" s="573"/>
    </row>
    <row r="173" spans="1:20" s="463" customFormat="1" ht="11.25">
      <c r="A173" s="570"/>
      <c r="B173" s="570"/>
      <c r="C173" s="570"/>
      <c r="D173" s="570"/>
      <c r="E173" s="570"/>
      <c r="I173" s="571"/>
      <c r="J173" s="571"/>
      <c r="K173" s="572"/>
      <c r="L173" s="573"/>
    </row>
    <row r="174" spans="1:20" s="463" customFormat="1" ht="11.25">
      <c r="A174" s="570"/>
      <c r="B174" s="570"/>
      <c r="C174" s="570"/>
      <c r="D174" s="570"/>
      <c r="E174" s="570"/>
      <c r="I174" s="571"/>
      <c r="J174" s="571"/>
      <c r="K174" s="572"/>
      <c r="L174" s="573"/>
    </row>
    <row r="175" spans="1:20" s="463" customFormat="1" ht="11.25">
      <c r="A175" s="570"/>
      <c r="B175" s="570"/>
      <c r="C175" s="570"/>
      <c r="D175" s="570"/>
      <c r="E175" s="570"/>
      <c r="I175" s="571"/>
      <c r="J175" s="571"/>
      <c r="K175" s="572"/>
      <c r="L175" s="573"/>
    </row>
    <row r="176" spans="1:20" s="463" customFormat="1" ht="11.25">
      <c r="A176" s="570"/>
      <c r="B176" s="570"/>
      <c r="C176" s="570"/>
      <c r="D176" s="570"/>
      <c r="E176" s="570"/>
      <c r="I176" s="571"/>
      <c r="J176" s="571"/>
      <c r="K176" s="572"/>
      <c r="L176" s="573"/>
    </row>
    <row r="177" spans="1:12" s="463" customFormat="1" ht="11.25">
      <c r="A177" s="570"/>
      <c r="B177" s="570"/>
      <c r="C177" s="570"/>
      <c r="D177" s="570"/>
      <c r="E177" s="570"/>
      <c r="I177" s="571"/>
      <c r="J177" s="571"/>
      <c r="K177" s="572"/>
      <c r="L177" s="573"/>
    </row>
    <row r="178" spans="1:12" s="463" customFormat="1" ht="11.25">
      <c r="A178" s="570"/>
      <c r="B178" s="570"/>
      <c r="C178" s="570"/>
      <c r="D178" s="570"/>
      <c r="E178" s="570"/>
      <c r="I178" s="571"/>
      <c r="J178" s="571"/>
      <c r="K178" s="572"/>
      <c r="L178" s="573"/>
    </row>
    <row r="179" spans="1:12" s="463" customFormat="1" ht="11.25">
      <c r="A179" s="570"/>
      <c r="B179" s="570"/>
      <c r="C179" s="570"/>
      <c r="D179" s="570"/>
      <c r="E179" s="570"/>
      <c r="I179" s="571"/>
      <c r="J179" s="571"/>
      <c r="K179" s="572"/>
      <c r="L179" s="573"/>
    </row>
    <row r="180" spans="1:12" s="463" customFormat="1" ht="11.25">
      <c r="A180" s="570"/>
      <c r="B180" s="570"/>
      <c r="C180" s="570"/>
      <c r="D180" s="570"/>
      <c r="E180" s="570"/>
      <c r="I180" s="571"/>
      <c r="J180" s="571"/>
      <c r="K180" s="572"/>
      <c r="L180" s="573"/>
    </row>
    <row r="181" spans="1:12" s="463" customFormat="1" ht="11.25">
      <c r="A181" s="570"/>
      <c r="B181" s="570"/>
      <c r="C181" s="570"/>
      <c r="D181" s="570"/>
      <c r="E181" s="570"/>
      <c r="I181" s="571"/>
      <c r="J181" s="571"/>
      <c r="K181" s="572"/>
      <c r="L181" s="573"/>
    </row>
    <row r="182" spans="1:12" s="463" customFormat="1" ht="11.25">
      <c r="A182" s="570"/>
      <c r="B182" s="570"/>
      <c r="C182" s="570"/>
      <c r="D182" s="570"/>
      <c r="E182" s="570"/>
      <c r="I182" s="571"/>
      <c r="J182" s="571"/>
      <c r="K182" s="572"/>
      <c r="L182" s="573"/>
    </row>
    <row r="183" spans="1:12" s="463" customFormat="1" ht="11.25">
      <c r="A183" s="570"/>
      <c r="B183" s="570"/>
      <c r="C183" s="570"/>
      <c r="D183" s="570"/>
      <c r="E183" s="570"/>
      <c r="I183" s="571"/>
      <c r="J183" s="571"/>
      <c r="K183" s="572"/>
      <c r="L183" s="573"/>
    </row>
    <row r="184" spans="1:12" s="463" customFormat="1" ht="11.25">
      <c r="A184" s="570"/>
      <c r="B184" s="570"/>
      <c r="C184" s="570"/>
      <c r="D184" s="570"/>
      <c r="E184" s="570"/>
      <c r="I184" s="571"/>
      <c r="J184" s="571"/>
      <c r="K184" s="572"/>
      <c r="L184" s="573"/>
    </row>
    <row r="185" spans="1:12" s="463" customFormat="1" ht="11.25">
      <c r="A185" s="570"/>
      <c r="B185" s="570"/>
      <c r="C185" s="570"/>
      <c r="D185" s="570"/>
      <c r="E185" s="570"/>
      <c r="I185" s="571"/>
      <c r="J185" s="571"/>
      <c r="K185" s="572"/>
      <c r="L185" s="573"/>
    </row>
    <row r="186" spans="1:12" s="463" customFormat="1" ht="11.25">
      <c r="A186" s="570"/>
      <c r="B186" s="570"/>
      <c r="C186" s="570"/>
      <c r="D186" s="570"/>
      <c r="E186" s="570"/>
      <c r="I186" s="571"/>
      <c r="J186" s="571"/>
      <c r="K186" s="572"/>
      <c r="L186" s="573"/>
    </row>
    <row r="187" spans="1:12" s="463" customFormat="1" ht="11.25">
      <c r="A187" s="570"/>
      <c r="B187" s="570"/>
      <c r="C187" s="570"/>
      <c r="D187" s="570"/>
      <c r="E187" s="570"/>
      <c r="I187" s="571"/>
      <c r="J187" s="571"/>
      <c r="K187" s="572"/>
      <c r="L187" s="573"/>
    </row>
    <row r="188" spans="1:12" s="463" customFormat="1" ht="11.25">
      <c r="A188" s="570"/>
      <c r="B188" s="570"/>
      <c r="C188" s="570"/>
      <c r="D188" s="570"/>
      <c r="E188" s="570"/>
      <c r="I188" s="571"/>
      <c r="J188" s="571"/>
      <c r="K188" s="572"/>
      <c r="L188" s="573"/>
    </row>
    <row r="189" spans="1:12" s="463" customFormat="1" ht="11.25">
      <c r="A189" s="570"/>
      <c r="B189" s="570"/>
      <c r="C189" s="570"/>
      <c r="D189" s="570"/>
      <c r="E189" s="570"/>
      <c r="I189" s="571"/>
      <c r="J189" s="571"/>
      <c r="K189" s="572"/>
      <c r="L189" s="573"/>
    </row>
    <row r="190" spans="1:12" s="463" customFormat="1" ht="11.25">
      <c r="A190" s="570"/>
      <c r="B190" s="570"/>
      <c r="C190" s="570"/>
      <c r="D190" s="570"/>
      <c r="E190" s="570"/>
      <c r="I190" s="571"/>
      <c r="J190" s="571"/>
      <c r="K190" s="572"/>
      <c r="L190" s="573"/>
    </row>
    <row r="191" spans="1:12" s="463" customFormat="1" ht="11.25">
      <c r="A191" s="570"/>
      <c r="B191" s="570"/>
      <c r="C191" s="570"/>
      <c r="D191" s="570"/>
      <c r="E191" s="570"/>
      <c r="I191" s="571"/>
      <c r="J191" s="571"/>
      <c r="K191" s="572"/>
      <c r="L191" s="573"/>
    </row>
    <row r="192" spans="1:12" s="463" customFormat="1" ht="11.25">
      <c r="A192" s="570"/>
      <c r="B192" s="570"/>
      <c r="C192" s="570"/>
      <c r="D192" s="570"/>
      <c r="E192" s="570"/>
      <c r="I192" s="571"/>
      <c r="J192" s="571"/>
      <c r="K192" s="572"/>
      <c r="L192" s="573"/>
    </row>
    <row r="193" spans="1:12" s="463" customFormat="1" ht="11.25">
      <c r="A193" s="570"/>
      <c r="B193" s="570"/>
      <c r="C193" s="570"/>
      <c r="D193" s="570"/>
      <c r="E193" s="570"/>
      <c r="I193" s="571"/>
      <c r="J193" s="571"/>
      <c r="K193" s="572"/>
      <c r="L193" s="573"/>
    </row>
    <row r="194" spans="1:12" s="463" customFormat="1" ht="11.25">
      <c r="A194" s="570"/>
      <c r="B194" s="570"/>
      <c r="C194" s="570"/>
      <c r="D194" s="570"/>
      <c r="E194" s="570"/>
      <c r="I194" s="571"/>
      <c r="J194" s="571"/>
      <c r="K194" s="572"/>
      <c r="L194" s="573"/>
    </row>
    <row r="195" spans="1:12" s="463" customFormat="1" ht="11.25">
      <c r="A195" s="570"/>
      <c r="B195" s="570"/>
      <c r="C195" s="570"/>
      <c r="D195" s="570"/>
      <c r="E195" s="570"/>
      <c r="I195" s="571"/>
      <c r="J195" s="571"/>
      <c r="K195" s="572"/>
      <c r="L195" s="573"/>
    </row>
    <row r="196" spans="1:12" s="463" customFormat="1" ht="11.25">
      <c r="A196" s="570"/>
      <c r="B196" s="570"/>
      <c r="C196" s="570"/>
      <c r="D196" s="570"/>
      <c r="E196" s="570"/>
      <c r="I196" s="571"/>
      <c r="J196" s="571"/>
      <c r="K196" s="572"/>
      <c r="L196" s="573"/>
    </row>
    <row r="197" spans="1:12" s="463" customFormat="1" ht="11.25">
      <c r="A197" s="570"/>
      <c r="B197" s="570"/>
      <c r="C197" s="570"/>
      <c r="D197" s="570"/>
      <c r="E197" s="570"/>
      <c r="I197" s="571"/>
      <c r="J197" s="571"/>
      <c r="K197" s="572"/>
      <c r="L197" s="573"/>
    </row>
    <row r="198" spans="1:12" s="463" customFormat="1" ht="11.25">
      <c r="A198" s="570"/>
      <c r="B198" s="570"/>
      <c r="C198" s="570"/>
      <c r="D198" s="570"/>
      <c r="E198" s="570"/>
      <c r="I198" s="571"/>
      <c r="J198" s="571"/>
      <c r="K198" s="572"/>
      <c r="L198" s="573"/>
    </row>
    <row r="199" spans="1:12" s="463" customFormat="1" ht="11.25">
      <c r="A199" s="570"/>
      <c r="B199" s="570"/>
      <c r="C199" s="570"/>
      <c r="D199" s="570"/>
      <c r="E199" s="570"/>
      <c r="I199" s="571"/>
      <c r="J199" s="571"/>
      <c r="K199" s="572"/>
      <c r="L199" s="573"/>
    </row>
    <row r="200" spans="1:12" s="463" customFormat="1" ht="11.25">
      <c r="A200" s="570"/>
      <c r="B200" s="570"/>
      <c r="C200" s="570"/>
      <c r="D200" s="570"/>
      <c r="E200" s="570"/>
      <c r="I200" s="571"/>
      <c r="J200" s="571"/>
      <c r="K200" s="572"/>
      <c r="L200" s="573"/>
    </row>
    <row r="201" spans="1:12" s="463" customFormat="1" ht="11.25">
      <c r="A201" s="570"/>
      <c r="B201" s="570"/>
      <c r="C201" s="570"/>
      <c r="D201" s="570"/>
      <c r="E201" s="570"/>
      <c r="I201" s="571"/>
      <c r="J201" s="571"/>
      <c r="K201" s="572"/>
      <c r="L201" s="573"/>
    </row>
    <row r="202" spans="1:12" s="463" customFormat="1" ht="11.25">
      <c r="A202" s="570"/>
      <c r="B202" s="570"/>
      <c r="C202" s="570"/>
      <c r="D202" s="570"/>
      <c r="E202" s="570"/>
      <c r="I202" s="571"/>
      <c r="J202" s="571"/>
      <c r="K202" s="572"/>
      <c r="L202" s="573"/>
    </row>
    <row r="203" spans="1:12" s="463" customFormat="1" ht="11.25">
      <c r="A203" s="570"/>
      <c r="B203" s="570"/>
      <c r="C203" s="570"/>
      <c r="D203" s="570"/>
      <c r="E203" s="570"/>
      <c r="I203" s="571"/>
      <c r="J203" s="571"/>
      <c r="K203" s="572"/>
      <c r="L203" s="573"/>
    </row>
    <row r="204" spans="1:12" s="463" customFormat="1" ht="11.25">
      <c r="A204" s="570"/>
      <c r="B204" s="570"/>
      <c r="C204" s="570"/>
      <c r="D204" s="570"/>
      <c r="E204" s="570"/>
      <c r="I204" s="571"/>
      <c r="J204" s="571"/>
      <c r="K204" s="572"/>
      <c r="L204" s="573"/>
    </row>
    <row r="205" spans="1:12" s="463" customFormat="1" ht="11.25">
      <c r="A205" s="570"/>
      <c r="B205" s="570"/>
      <c r="C205" s="570"/>
      <c r="D205" s="570"/>
      <c r="E205" s="570"/>
      <c r="I205" s="571"/>
      <c r="J205" s="571"/>
      <c r="K205" s="572"/>
      <c r="L205" s="573"/>
    </row>
    <row r="206" spans="1:12" s="463" customFormat="1" ht="11.25">
      <c r="A206" s="570"/>
      <c r="B206" s="570"/>
      <c r="C206" s="570"/>
      <c r="D206" s="570"/>
      <c r="E206" s="570"/>
      <c r="I206" s="571"/>
      <c r="J206" s="571"/>
      <c r="K206" s="572"/>
      <c r="L206" s="573"/>
    </row>
    <row r="207" spans="1:12" s="463" customFormat="1" ht="11.25">
      <c r="A207" s="570"/>
      <c r="B207" s="570"/>
      <c r="C207" s="570"/>
      <c r="D207" s="570"/>
      <c r="E207" s="570"/>
      <c r="I207" s="571"/>
      <c r="J207" s="571"/>
      <c r="K207" s="572"/>
      <c r="L207" s="573"/>
    </row>
    <row r="208" spans="1:12" s="463" customFormat="1" ht="11.25">
      <c r="A208" s="570"/>
      <c r="B208" s="570"/>
      <c r="C208" s="570"/>
      <c r="D208" s="570"/>
      <c r="E208" s="570"/>
      <c r="I208" s="571"/>
      <c r="J208" s="571"/>
      <c r="K208" s="572"/>
      <c r="L208" s="573"/>
    </row>
    <row r="209" spans="1:12" s="463" customFormat="1" ht="11.25">
      <c r="A209" s="570"/>
      <c r="B209" s="570"/>
      <c r="C209" s="570"/>
      <c r="D209" s="570"/>
      <c r="E209" s="570"/>
      <c r="I209" s="571"/>
      <c r="J209" s="571"/>
      <c r="K209" s="572"/>
      <c r="L209" s="573"/>
    </row>
    <row r="210" spans="1:12" s="463" customFormat="1" ht="11.25">
      <c r="A210" s="570"/>
      <c r="B210" s="570"/>
      <c r="C210" s="570"/>
      <c r="D210" s="570"/>
      <c r="E210" s="570"/>
      <c r="I210" s="571"/>
      <c r="J210" s="571"/>
      <c r="K210" s="572"/>
      <c r="L210" s="573"/>
    </row>
    <row r="211" spans="1:12" s="463" customFormat="1" ht="11.25">
      <c r="A211" s="570"/>
      <c r="B211" s="570"/>
      <c r="C211" s="570"/>
      <c r="D211" s="570"/>
      <c r="E211" s="570"/>
      <c r="I211" s="571"/>
      <c r="J211" s="571"/>
      <c r="K211" s="572"/>
      <c r="L211" s="573"/>
    </row>
    <row r="212" spans="1:12" s="463" customFormat="1" ht="11.25">
      <c r="A212" s="570"/>
      <c r="B212" s="570"/>
      <c r="C212" s="570"/>
      <c r="D212" s="570"/>
      <c r="E212" s="570"/>
      <c r="I212" s="571"/>
      <c r="J212" s="571"/>
      <c r="K212" s="572"/>
      <c r="L212" s="573"/>
    </row>
    <row r="213" spans="1:12" s="463" customFormat="1" ht="11.25">
      <c r="A213" s="570"/>
      <c r="B213" s="570"/>
      <c r="C213" s="570"/>
      <c r="D213" s="570"/>
      <c r="E213" s="570"/>
      <c r="I213" s="571"/>
      <c r="J213" s="571"/>
      <c r="K213" s="572"/>
      <c r="L213" s="573"/>
    </row>
    <row r="214" spans="1:12" s="463" customFormat="1" ht="11.25">
      <c r="A214" s="570"/>
      <c r="B214" s="570"/>
      <c r="C214" s="570"/>
      <c r="D214" s="570"/>
      <c r="E214" s="570"/>
      <c r="I214" s="571"/>
      <c r="J214" s="571"/>
      <c r="K214" s="572"/>
      <c r="L214" s="573"/>
    </row>
    <row r="215" spans="1:12" s="463" customFormat="1" ht="11.25">
      <c r="A215" s="570"/>
      <c r="B215" s="570"/>
      <c r="C215" s="570"/>
      <c r="D215" s="570"/>
      <c r="E215" s="570"/>
      <c r="I215" s="571"/>
      <c r="J215" s="571"/>
      <c r="K215" s="572"/>
      <c r="L215" s="573"/>
    </row>
    <row r="216" spans="1:12" s="463" customFormat="1" ht="11.25">
      <c r="A216" s="570"/>
      <c r="B216" s="570"/>
      <c r="C216" s="570"/>
      <c r="D216" s="570"/>
      <c r="E216" s="570"/>
      <c r="I216" s="571"/>
      <c r="J216" s="571"/>
      <c r="K216" s="572"/>
      <c r="L216" s="573"/>
    </row>
    <row r="224" spans="1:12" s="463" customFormat="1">
      <c r="A224" s="575"/>
      <c r="B224" s="575"/>
      <c r="C224" s="575"/>
      <c r="D224" s="575"/>
      <c r="E224" s="575"/>
      <c r="F224" s="425"/>
      <c r="I224" s="571"/>
      <c r="J224" s="571"/>
      <c r="K224" s="572"/>
      <c r="L224" s="573"/>
    </row>
    <row r="225" spans="1:12" s="463" customFormat="1">
      <c r="A225" s="575"/>
      <c r="B225" s="575"/>
      <c r="C225" s="575"/>
      <c r="D225" s="575"/>
      <c r="E225" s="575"/>
      <c r="F225" s="425"/>
      <c r="I225" s="571"/>
      <c r="J225" s="571"/>
      <c r="K225" s="572"/>
      <c r="L225" s="573"/>
    </row>
    <row r="226" spans="1:12" s="463" customFormat="1">
      <c r="A226" s="575"/>
      <c r="B226" s="575"/>
      <c r="C226" s="575"/>
      <c r="D226" s="575"/>
      <c r="E226" s="575"/>
      <c r="F226" s="425"/>
      <c r="I226" s="571"/>
      <c r="J226" s="571"/>
      <c r="K226" s="572"/>
      <c r="L226" s="573"/>
    </row>
    <row r="227" spans="1:12" s="463" customFormat="1">
      <c r="A227" s="575"/>
      <c r="B227" s="575"/>
      <c r="C227" s="575"/>
      <c r="D227" s="575"/>
      <c r="E227" s="575"/>
      <c r="F227" s="425"/>
      <c r="I227" s="571"/>
      <c r="J227" s="571"/>
      <c r="K227" s="572"/>
      <c r="L227" s="573"/>
    </row>
    <row r="228" spans="1:12" s="463" customFormat="1">
      <c r="A228" s="575"/>
      <c r="B228" s="575"/>
      <c r="C228" s="575"/>
      <c r="D228" s="575"/>
      <c r="E228" s="575"/>
      <c r="F228" s="425"/>
      <c r="I228" s="571"/>
      <c r="J228" s="571"/>
      <c r="K228" s="572"/>
      <c r="L228" s="573"/>
    </row>
    <row r="229" spans="1:12" s="463" customFormat="1">
      <c r="A229" s="575"/>
      <c r="B229" s="575"/>
      <c r="C229" s="575"/>
      <c r="D229" s="575"/>
      <c r="E229" s="575"/>
      <c r="F229" s="425"/>
      <c r="I229" s="571"/>
      <c r="J229" s="571"/>
      <c r="K229" s="572"/>
      <c r="L229" s="573"/>
    </row>
    <row r="230" spans="1:12" s="463" customFormat="1">
      <c r="A230" s="575"/>
      <c r="B230" s="575"/>
      <c r="C230" s="575"/>
      <c r="D230" s="575"/>
      <c r="E230" s="575"/>
      <c r="F230" s="425"/>
      <c r="I230" s="571"/>
      <c r="J230" s="571"/>
      <c r="K230" s="572"/>
      <c r="L230" s="573"/>
    </row>
    <row r="231" spans="1:12" s="463" customFormat="1">
      <c r="A231" s="575"/>
      <c r="B231" s="575"/>
      <c r="C231" s="575"/>
      <c r="D231" s="575"/>
      <c r="E231" s="575"/>
      <c r="F231" s="425"/>
      <c r="I231" s="571"/>
      <c r="J231" s="571"/>
      <c r="K231" s="572"/>
      <c r="L231" s="573"/>
    </row>
    <row r="232" spans="1:12" s="463" customFormat="1">
      <c r="A232" s="575"/>
      <c r="B232" s="575"/>
      <c r="C232" s="575"/>
      <c r="D232" s="575"/>
      <c r="E232" s="575"/>
      <c r="F232" s="425"/>
      <c r="I232" s="571"/>
      <c r="J232" s="571"/>
      <c r="K232" s="572"/>
      <c r="L232" s="573"/>
    </row>
    <row r="233" spans="1:12" s="463" customFormat="1">
      <c r="A233" s="575"/>
      <c r="B233" s="575"/>
      <c r="C233" s="575"/>
      <c r="D233" s="575"/>
      <c r="E233" s="575"/>
      <c r="F233" s="425"/>
      <c r="I233" s="571"/>
      <c r="J233" s="571"/>
      <c r="K233" s="572"/>
      <c r="L233" s="573"/>
    </row>
    <row r="234" spans="1:12" s="463" customFormat="1">
      <c r="A234" s="575"/>
      <c r="B234" s="575"/>
      <c r="C234" s="575"/>
      <c r="D234" s="575"/>
      <c r="E234" s="575"/>
      <c r="F234" s="425"/>
      <c r="I234" s="571"/>
      <c r="J234" s="571"/>
      <c r="K234" s="572"/>
      <c r="L234" s="573"/>
    </row>
    <row r="235" spans="1:12" s="463" customFormat="1">
      <c r="A235" s="575"/>
      <c r="B235" s="575"/>
      <c r="C235" s="575"/>
      <c r="D235" s="575"/>
      <c r="E235" s="575"/>
      <c r="F235" s="425"/>
      <c r="I235" s="571"/>
      <c r="J235" s="571"/>
      <c r="K235" s="572"/>
      <c r="L235" s="573"/>
    </row>
    <row r="236" spans="1:12" s="463" customFormat="1">
      <c r="A236" s="575"/>
      <c r="B236" s="575"/>
      <c r="C236" s="575"/>
      <c r="D236" s="575"/>
      <c r="E236" s="575"/>
      <c r="F236" s="425"/>
      <c r="I236" s="571"/>
      <c r="J236" s="571"/>
      <c r="K236" s="572"/>
      <c r="L236" s="573"/>
    </row>
    <row r="237" spans="1:12" s="463" customFormat="1">
      <c r="A237" s="575"/>
      <c r="B237" s="575"/>
      <c r="C237" s="575"/>
      <c r="D237" s="575"/>
      <c r="E237" s="575"/>
      <c r="F237" s="425"/>
      <c r="I237" s="571"/>
      <c r="J237" s="571"/>
      <c r="K237" s="572"/>
      <c r="L237" s="573"/>
    </row>
    <row r="238" spans="1:12" s="463" customFormat="1">
      <c r="A238" s="575"/>
      <c r="B238" s="575"/>
      <c r="C238" s="575"/>
      <c r="D238" s="575"/>
      <c r="E238" s="575"/>
      <c r="F238" s="425"/>
      <c r="I238" s="571"/>
      <c r="J238" s="571"/>
      <c r="K238" s="572"/>
      <c r="L238" s="573"/>
    </row>
    <row r="239" spans="1:12" s="463" customFormat="1">
      <c r="A239" s="575"/>
      <c r="B239" s="575"/>
      <c r="C239" s="575"/>
      <c r="D239" s="575"/>
      <c r="E239" s="575"/>
      <c r="F239" s="425"/>
      <c r="I239" s="571"/>
      <c r="J239" s="571"/>
      <c r="K239" s="572"/>
      <c r="L239" s="573"/>
    </row>
    <row r="240" spans="1:12" s="463" customFormat="1">
      <c r="A240" s="575"/>
      <c r="B240" s="575"/>
      <c r="C240" s="575"/>
      <c r="D240" s="575"/>
      <c r="E240" s="575"/>
      <c r="F240" s="425"/>
      <c r="I240" s="571"/>
      <c r="J240" s="571"/>
      <c r="K240" s="572"/>
      <c r="L240" s="573"/>
    </row>
    <row r="241" spans="1:12" s="463" customFormat="1">
      <c r="A241" s="575"/>
      <c r="B241" s="575"/>
      <c r="C241" s="575"/>
      <c r="D241" s="575"/>
      <c r="E241" s="575"/>
      <c r="F241" s="425"/>
      <c r="I241" s="571"/>
      <c r="J241" s="571"/>
      <c r="K241" s="572"/>
      <c r="L241" s="573"/>
    </row>
    <row r="242" spans="1:12" s="463" customFormat="1">
      <c r="A242" s="575"/>
      <c r="B242" s="575"/>
      <c r="C242" s="575"/>
      <c r="D242" s="575"/>
      <c r="E242" s="575"/>
      <c r="F242" s="425"/>
      <c r="I242" s="571"/>
      <c r="J242" s="571"/>
      <c r="K242" s="572"/>
      <c r="L242" s="573"/>
    </row>
    <row r="243" spans="1:12" s="463" customFormat="1">
      <c r="A243" s="575"/>
      <c r="B243" s="575"/>
      <c r="C243" s="575"/>
      <c r="D243" s="575"/>
      <c r="E243" s="575"/>
      <c r="F243" s="425"/>
      <c r="I243" s="571"/>
      <c r="J243" s="571"/>
      <c r="K243" s="572"/>
      <c r="L243" s="573"/>
    </row>
    <row r="244" spans="1:12" s="463" customFormat="1">
      <c r="A244" s="575"/>
      <c r="B244" s="575"/>
      <c r="C244" s="575"/>
      <c r="D244" s="575"/>
      <c r="E244" s="575"/>
      <c r="F244" s="425"/>
      <c r="I244" s="571"/>
      <c r="J244" s="571"/>
      <c r="K244" s="572"/>
      <c r="L244" s="573"/>
    </row>
    <row r="245" spans="1:12" s="463" customFormat="1">
      <c r="A245" s="575"/>
      <c r="B245" s="575"/>
      <c r="C245" s="575"/>
      <c r="D245" s="575"/>
      <c r="E245" s="575"/>
      <c r="F245" s="425"/>
      <c r="I245" s="571"/>
      <c r="J245" s="571"/>
      <c r="K245" s="572"/>
      <c r="L245" s="573"/>
    </row>
    <row r="246" spans="1:12" s="463" customFormat="1">
      <c r="A246" s="575"/>
      <c r="B246" s="575"/>
      <c r="C246" s="575"/>
      <c r="D246" s="575"/>
      <c r="E246" s="575"/>
      <c r="F246" s="425"/>
      <c r="I246" s="571"/>
      <c r="J246" s="571"/>
      <c r="K246" s="572"/>
      <c r="L246" s="573"/>
    </row>
    <row r="247" spans="1:12" s="463" customFormat="1">
      <c r="A247" s="575"/>
      <c r="B247" s="575"/>
      <c r="C247" s="575"/>
      <c r="D247" s="575"/>
      <c r="E247" s="575"/>
      <c r="F247" s="425"/>
      <c r="I247" s="571"/>
      <c r="J247" s="571"/>
      <c r="K247" s="572"/>
      <c r="L247" s="573"/>
    </row>
    <row r="248" spans="1:12" s="463" customFormat="1">
      <c r="A248" s="575"/>
      <c r="B248" s="575"/>
      <c r="C248" s="575"/>
      <c r="D248" s="575"/>
      <c r="E248" s="575"/>
      <c r="F248" s="425"/>
      <c r="I248" s="571"/>
      <c r="J248" s="571"/>
      <c r="K248" s="572"/>
      <c r="L248" s="573"/>
    </row>
    <row r="249" spans="1:12" s="463" customFormat="1">
      <c r="A249" s="575"/>
      <c r="B249" s="575"/>
      <c r="C249" s="575"/>
      <c r="D249" s="575"/>
      <c r="E249" s="575"/>
      <c r="F249" s="425"/>
      <c r="I249" s="571"/>
      <c r="J249" s="571"/>
      <c r="K249" s="572"/>
      <c r="L249" s="573"/>
    </row>
    <row r="250" spans="1:12" s="463" customFormat="1">
      <c r="A250" s="575"/>
      <c r="B250" s="575"/>
      <c r="C250" s="575"/>
      <c r="D250" s="575"/>
      <c r="E250" s="575"/>
      <c r="F250" s="425"/>
      <c r="I250" s="571"/>
      <c r="J250" s="571"/>
      <c r="K250" s="572"/>
      <c r="L250" s="573"/>
    </row>
    <row r="251" spans="1:12" s="463" customFormat="1">
      <c r="A251" s="575"/>
      <c r="B251" s="575"/>
      <c r="C251" s="575"/>
      <c r="D251" s="575"/>
      <c r="E251" s="575"/>
      <c r="F251" s="425"/>
      <c r="I251" s="571"/>
      <c r="J251" s="571"/>
      <c r="K251" s="572"/>
      <c r="L251" s="573"/>
    </row>
    <row r="252" spans="1:12" s="463" customFormat="1">
      <c r="A252" s="575"/>
      <c r="B252" s="575"/>
      <c r="C252" s="575"/>
      <c r="D252" s="575"/>
      <c r="E252" s="575"/>
      <c r="F252" s="425"/>
      <c r="I252" s="571"/>
      <c r="J252" s="571"/>
      <c r="K252" s="572"/>
      <c r="L252" s="573"/>
    </row>
    <row r="253" spans="1:12" s="463" customFormat="1">
      <c r="A253" s="575"/>
      <c r="B253" s="575"/>
      <c r="C253" s="575"/>
      <c r="D253" s="575"/>
      <c r="E253" s="575"/>
      <c r="F253" s="425"/>
      <c r="I253" s="571"/>
      <c r="J253" s="571"/>
      <c r="K253" s="572"/>
      <c r="L253" s="573"/>
    </row>
    <row r="254" spans="1:12" s="463" customFormat="1">
      <c r="A254" s="575"/>
      <c r="B254" s="575"/>
      <c r="C254" s="575"/>
      <c r="D254" s="575"/>
      <c r="E254" s="575"/>
      <c r="F254" s="425"/>
      <c r="I254" s="571"/>
      <c r="J254" s="571"/>
      <c r="K254" s="572"/>
      <c r="L254" s="573"/>
    </row>
    <row r="255" spans="1:12" s="463" customFormat="1">
      <c r="A255" s="575"/>
      <c r="B255" s="575"/>
      <c r="C255" s="575"/>
      <c r="D255" s="575"/>
      <c r="E255" s="575"/>
      <c r="F255" s="425"/>
      <c r="I255" s="571"/>
      <c r="J255" s="571"/>
      <c r="K255" s="572"/>
      <c r="L255" s="573"/>
    </row>
    <row r="256" spans="1:12" s="463" customFormat="1">
      <c r="A256" s="575"/>
      <c r="B256" s="575"/>
      <c r="C256" s="575"/>
      <c r="D256" s="575"/>
      <c r="E256" s="575"/>
      <c r="F256" s="425"/>
      <c r="I256" s="571"/>
      <c r="J256" s="571"/>
      <c r="K256" s="572"/>
      <c r="L256" s="573"/>
    </row>
    <row r="257" spans="1:12" s="463" customFormat="1">
      <c r="A257" s="575"/>
      <c r="B257" s="575"/>
      <c r="C257" s="575"/>
      <c r="D257" s="575"/>
      <c r="E257" s="575"/>
      <c r="F257" s="425"/>
      <c r="I257" s="571"/>
      <c r="J257" s="571"/>
      <c r="K257" s="572"/>
      <c r="L257" s="573"/>
    </row>
    <row r="258" spans="1:12" s="463" customFormat="1">
      <c r="A258" s="575"/>
      <c r="B258" s="575"/>
      <c r="C258" s="575"/>
      <c r="D258" s="575"/>
      <c r="E258" s="575"/>
      <c r="F258" s="425"/>
      <c r="I258" s="571"/>
      <c r="J258" s="571"/>
      <c r="K258" s="572"/>
      <c r="L258" s="573"/>
    </row>
    <row r="259" spans="1:12" s="463" customFormat="1">
      <c r="A259" s="575"/>
      <c r="B259" s="575"/>
      <c r="C259" s="575"/>
      <c r="D259" s="575"/>
      <c r="E259" s="575"/>
      <c r="F259" s="425"/>
      <c r="I259" s="571"/>
      <c r="J259" s="571"/>
      <c r="K259" s="572"/>
      <c r="L259" s="573"/>
    </row>
    <row r="260" spans="1:12" s="463" customFormat="1">
      <c r="A260" s="575"/>
      <c r="B260" s="575"/>
      <c r="C260" s="575"/>
      <c r="D260" s="575"/>
      <c r="E260" s="575"/>
      <c r="F260" s="425"/>
      <c r="I260" s="571"/>
      <c r="J260" s="571"/>
      <c r="K260" s="572"/>
      <c r="L260" s="573"/>
    </row>
    <row r="261" spans="1:12" s="463" customFormat="1">
      <c r="A261" s="575"/>
      <c r="B261" s="575"/>
      <c r="C261" s="575"/>
      <c r="D261" s="575"/>
      <c r="E261" s="575"/>
      <c r="F261" s="425"/>
      <c r="I261" s="571"/>
      <c r="J261" s="571"/>
      <c r="K261" s="572"/>
      <c r="L261" s="573"/>
    </row>
    <row r="262" spans="1:12" s="463" customFormat="1">
      <c r="A262" s="575"/>
      <c r="B262" s="575"/>
      <c r="C262" s="575"/>
      <c r="D262" s="575"/>
      <c r="E262" s="575"/>
      <c r="F262" s="425"/>
      <c r="I262" s="571"/>
      <c r="J262" s="571"/>
      <c r="K262" s="572"/>
      <c r="L262" s="573"/>
    </row>
    <row r="263" spans="1:12" s="463" customFormat="1">
      <c r="A263" s="575"/>
      <c r="B263" s="575"/>
      <c r="C263" s="575"/>
      <c r="D263" s="575"/>
      <c r="E263" s="575"/>
      <c r="F263" s="425"/>
      <c r="I263" s="571"/>
      <c r="J263" s="571"/>
      <c r="K263" s="572"/>
      <c r="L263" s="573"/>
    </row>
    <row r="264" spans="1:12" s="463" customFormat="1">
      <c r="A264" s="575"/>
      <c r="B264" s="575"/>
      <c r="C264" s="575"/>
      <c r="D264" s="575"/>
      <c r="E264" s="575"/>
      <c r="F264" s="425"/>
      <c r="I264" s="571"/>
      <c r="J264" s="571"/>
      <c r="K264" s="572"/>
      <c r="L264" s="573"/>
    </row>
    <row r="265" spans="1:12" s="463" customFormat="1">
      <c r="A265" s="575"/>
      <c r="B265" s="575"/>
      <c r="C265" s="575"/>
      <c r="D265" s="575"/>
      <c r="E265" s="575"/>
      <c r="F265" s="425"/>
      <c r="I265" s="571"/>
      <c r="J265" s="571"/>
      <c r="K265" s="572"/>
      <c r="L265" s="573"/>
    </row>
    <row r="266" spans="1:12" s="463" customFormat="1">
      <c r="A266" s="575"/>
      <c r="B266" s="575"/>
      <c r="C266" s="575"/>
      <c r="D266" s="575"/>
      <c r="E266" s="575"/>
      <c r="F266" s="425"/>
      <c r="I266" s="571"/>
      <c r="J266" s="571"/>
      <c r="K266" s="572"/>
      <c r="L266" s="573"/>
    </row>
    <row r="267" spans="1:12" s="463" customFormat="1">
      <c r="A267" s="575"/>
      <c r="B267" s="575"/>
      <c r="C267" s="575"/>
      <c r="D267" s="575"/>
      <c r="E267" s="575"/>
      <c r="F267" s="425"/>
      <c r="I267" s="571"/>
      <c r="J267" s="571"/>
      <c r="K267" s="572"/>
      <c r="L267" s="573"/>
    </row>
    <row r="268" spans="1:12" s="463" customFormat="1">
      <c r="A268" s="575"/>
      <c r="B268" s="575"/>
      <c r="C268" s="575"/>
      <c r="D268" s="575"/>
      <c r="E268" s="575"/>
      <c r="F268" s="425"/>
      <c r="I268" s="571"/>
      <c r="J268" s="571"/>
      <c r="K268" s="572"/>
      <c r="L268" s="573"/>
    </row>
    <row r="269" spans="1:12" s="463" customFormat="1">
      <c r="A269" s="575"/>
      <c r="B269" s="575"/>
      <c r="C269" s="575"/>
      <c r="D269" s="575"/>
      <c r="E269" s="575"/>
      <c r="F269" s="425"/>
      <c r="I269" s="571"/>
      <c r="J269" s="571"/>
      <c r="K269" s="572"/>
      <c r="L269" s="573"/>
    </row>
    <row r="270" spans="1:12" s="463" customFormat="1">
      <c r="A270" s="575"/>
      <c r="B270" s="575"/>
      <c r="C270" s="575"/>
      <c r="D270" s="575"/>
      <c r="E270" s="575"/>
      <c r="F270" s="425"/>
      <c r="I270" s="571"/>
      <c r="J270" s="571"/>
      <c r="K270" s="572"/>
      <c r="L270" s="573"/>
    </row>
    <row r="271" spans="1:12" s="463" customFormat="1">
      <c r="A271" s="575"/>
      <c r="B271" s="575"/>
      <c r="C271" s="575"/>
      <c r="D271" s="575"/>
      <c r="E271" s="575"/>
      <c r="F271" s="425"/>
      <c r="I271" s="571"/>
      <c r="J271" s="571"/>
      <c r="K271" s="572"/>
      <c r="L271" s="573"/>
    </row>
    <row r="272" spans="1:12" s="463" customFormat="1">
      <c r="A272" s="575"/>
      <c r="B272" s="575"/>
      <c r="C272" s="575"/>
      <c r="D272" s="575"/>
      <c r="E272" s="575"/>
      <c r="F272" s="425"/>
      <c r="I272" s="571"/>
      <c r="J272" s="571"/>
      <c r="K272" s="572"/>
      <c r="L272" s="573"/>
    </row>
    <row r="273" spans="1:12" s="463" customFormat="1">
      <c r="A273" s="575"/>
      <c r="B273" s="575"/>
      <c r="C273" s="575"/>
      <c r="D273" s="575"/>
      <c r="E273" s="575"/>
      <c r="F273" s="425"/>
      <c r="I273" s="571"/>
      <c r="J273" s="571"/>
      <c r="K273" s="572"/>
      <c r="L273" s="573"/>
    </row>
    <row r="274" spans="1:12" s="463" customFormat="1">
      <c r="A274" s="575"/>
      <c r="B274" s="575"/>
      <c r="C274" s="575"/>
      <c r="D274" s="575"/>
      <c r="E274" s="575"/>
      <c r="F274" s="425"/>
      <c r="I274" s="571"/>
      <c r="J274" s="571"/>
      <c r="K274" s="572"/>
      <c r="L274" s="573"/>
    </row>
    <row r="275" spans="1:12" s="463" customFormat="1">
      <c r="A275" s="575"/>
      <c r="B275" s="575"/>
      <c r="C275" s="575"/>
      <c r="D275" s="575"/>
      <c r="E275" s="575"/>
      <c r="F275" s="425"/>
      <c r="I275" s="571"/>
      <c r="J275" s="571"/>
      <c r="K275" s="572"/>
      <c r="L275" s="573"/>
    </row>
    <row r="276" spans="1:12" s="463" customFormat="1">
      <c r="A276" s="575"/>
      <c r="B276" s="575"/>
      <c r="C276" s="575"/>
      <c r="D276" s="575"/>
      <c r="E276" s="575"/>
      <c r="F276" s="425"/>
      <c r="I276" s="571"/>
      <c r="J276" s="571"/>
      <c r="K276" s="572"/>
      <c r="L276" s="573"/>
    </row>
    <row r="277" spans="1:12" s="463" customFormat="1">
      <c r="A277" s="575"/>
      <c r="B277" s="575"/>
      <c r="C277" s="575"/>
      <c r="D277" s="575"/>
      <c r="E277" s="575"/>
      <c r="F277" s="425"/>
      <c r="I277" s="571"/>
      <c r="J277" s="571"/>
      <c r="K277" s="572"/>
      <c r="L277" s="573"/>
    </row>
    <row r="278" spans="1:12" s="463" customFormat="1">
      <c r="A278" s="575"/>
      <c r="B278" s="575"/>
      <c r="C278" s="575"/>
      <c r="D278" s="575"/>
      <c r="E278" s="575"/>
      <c r="F278" s="425"/>
      <c r="I278" s="571"/>
      <c r="J278" s="571"/>
      <c r="K278" s="572"/>
      <c r="L278" s="573"/>
    </row>
    <row r="279" spans="1:12" s="463" customFormat="1">
      <c r="A279" s="575"/>
      <c r="B279" s="575"/>
      <c r="C279" s="575"/>
      <c r="D279" s="575"/>
      <c r="E279" s="575"/>
      <c r="F279" s="425"/>
      <c r="I279" s="571"/>
      <c r="J279" s="571"/>
      <c r="K279" s="572"/>
      <c r="L279" s="573"/>
    </row>
    <row r="280" spans="1:12" s="463" customFormat="1">
      <c r="A280" s="575"/>
      <c r="B280" s="575"/>
      <c r="C280" s="575"/>
      <c r="D280" s="575"/>
      <c r="E280" s="575"/>
      <c r="F280" s="425"/>
      <c r="I280" s="571"/>
      <c r="J280" s="571"/>
      <c r="K280" s="572"/>
      <c r="L280" s="573"/>
    </row>
  </sheetData>
  <mergeCells count="32">
    <mergeCell ref="A167:H167"/>
    <mergeCell ref="D145:F145"/>
    <mergeCell ref="D146:F146"/>
    <mergeCell ref="D147:F147"/>
    <mergeCell ref="A155:H155"/>
    <mergeCell ref="A159:H159"/>
    <mergeCell ref="A161:H161"/>
    <mergeCell ref="D144:F144"/>
    <mergeCell ref="A98:H98"/>
    <mergeCell ref="A101:J101"/>
    <mergeCell ref="K101:L101"/>
    <mergeCell ref="A103:H104"/>
    <mergeCell ref="I103:I104"/>
    <mergeCell ref="J103:J104"/>
    <mergeCell ref="K103:L103"/>
    <mergeCell ref="A123:H123"/>
    <mergeCell ref="A130:H130"/>
    <mergeCell ref="A134:H134"/>
    <mergeCell ref="D142:F142"/>
    <mergeCell ref="D143:F143"/>
    <mergeCell ref="A92:H92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6:H86"/>
    <mergeCell ref="A90:H90"/>
  </mergeCells>
  <pageMargins left="0.70866141732283472" right="0.70866141732283472" top="0.74803149606299213" bottom="0.74803149606299213" header="0.31496062992125984" footer="0.31496062992125984"/>
  <pageSetup paperSize="9" scale="68" fitToHeight="1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678"/>
  <sheetViews>
    <sheetView topLeftCell="A277" zoomScale="80" zoomScaleNormal="80" workbookViewId="0">
      <selection activeCell="C220" sqref="C220"/>
    </sheetView>
  </sheetViews>
  <sheetFormatPr defaultColWidth="9.140625" defaultRowHeight="19.5"/>
  <cols>
    <col min="1" max="1" width="7.5703125" style="73" customWidth="1"/>
    <col min="2" max="2" width="12" style="73" customWidth="1"/>
    <col min="3" max="3" width="79.5703125" style="72" customWidth="1"/>
    <col min="4" max="4" width="30.85546875" style="577" bestFit="1" customWidth="1"/>
    <col min="5" max="5" width="24.28515625" style="72" bestFit="1" customWidth="1"/>
    <col min="6" max="6" width="3.28515625" style="615" customWidth="1"/>
    <col min="7" max="7" width="3.28515625" style="741" customWidth="1"/>
    <col min="8" max="9" width="3.28515625" style="72" customWidth="1"/>
    <col min="10" max="10" width="16.140625" style="72" customWidth="1"/>
    <col min="11" max="11" width="6.28515625" style="72" customWidth="1"/>
    <col min="12" max="12" width="3" style="72" customWidth="1"/>
    <col min="13" max="13" width="13.42578125" style="72" bestFit="1" customWidth="1"/>
    <col min="14" max="17" width="3" style="72" customWidth="1"/>
    <col min="18" max="21" width="3.28515625" style="72" customWidth="1"/>
    <col min="22" max="22" width="1.28515625" style="72" customWidth="1"/>
    <col min="23" max="23" width="5.28515625" style="72" customWidth="1"/>
    <col min="24" max="28" width="3.28515625" style="72" customWidth="1"/>
    <col min="29" max="29" width="9.140625" style="72" customWidth="1"/>
    <col min="30" max="198" width="9.140625" style="72"/>
    <col min="199" max="206" width="9.140625" style="72" customWidth="1"/>
    <col min="207" max="207" width="10.140625" style="72" customWidth="1"/>
    <col min="208" max="208" width="1" style="72" customWidth="1"/>
    <col min="209" max="211" width="3.28515625" style="72" customWidth="1"/>
    <col min="212" max="212" width="1.85546875" style="72" customWidth="1"/>
    <col min="213" max="213" width="17.85546875" style="72" customWidth="1"/>
    <col min="214" max="214" width="1.85546875" style="72" customWidth="1"/>
    <col min="215" max="217" width="3.28515625" style="72" customWidth="1"/>
    <col min="218" max="218" width="2.85546875" style="72" customWidth="1"/>
    <col min="219" max="219" width="1.85546875" style="72" customWidth="1"/>
    <col min="220" max="220" width="19.7109375" style="72" customWidth="1"/>
    <col min="221" max="221" width="1.85546875" style="72" customWidth="1"/>
    <col min="222" max="224" width="3" style="72" customWidth="1"/>
    <col min="225" max="225" width="4.42578125" style="72" customWidth="1"/>
    <col min="226" max="227" width="3" style="72" customWidth="1"/>
    <col min="228" max="233" width="3.28515625" style="72" customWidth="1"/>
    <col min="234" max="235" width="9.140625" style="72" customWidth="1"/>
    <col min="236" max="239" width="3.28515625" style="72" customWidth="1"/>
    <col min="240" max="240" width="4.140625" style="72" customWidth="1"/>
    <col min="241" max="241" width="1.7109375" style="72" customWidth="1"/>
    <col min="242" max="246" width="3.28515625" style="72" customWidth="1"/>
    <col min="247" max="247" width="1.7109375" style="72" customWidth="1"/>
    <col min="248" max="252" width="3.28515625" style="72" customWidth="1"/>
    <col min="253" max="258" width="9.140625" style="72" customWidth="1"/>
    <col min="259" max="259" width="1.7109375" style="72" customWidth="1"/>
    <col min="260" max="264" width="3.28515625" style="72" customWidth="1"/>
    <col min="265" max="265" width="1.7109375" style="72" customWidth="1"/>
    <col min="266" max="266" width="16.5703125" style="72" bestFit="1" customWidth="1"/>
    <col min="267" max="268" width="10.28515625" style="72" customWidth="1"/>
    <col min="269" max="269" width="18" style="72" bestFit="1" customWidth="1"/>
    <col min="270" max="454" width="9.140625" style="72"/>
    <col min="455" max="462" width="9.140625" style="72" customWidth="1"/>
    <col min="463" max="463" width="10.140625" style="72" customWidth="1"/>
    <col min="464" max="464" width="1" style="72" customWidth="1"/>
    <col min="465" max="467" width="3.28515625" style="72" customWidth="1"/>
    <col min="468" max="468" width="1.85546875" style="72" customWidth="1"/>
    <col min="469" max="469" width="17.85546875" style="72" customWidth="1"/>
    <col min="470" max="470" width="1.85546875" style="72" customWidth="1"/>
    <col min="471" max="473" width="3.28515625" style="72" customWidth="1"/>
    <col min="474" max="474" width="2.85546875" style="72" customWidth="1"/>
    <col min="475" max="475" width="1.85546875" style="72" customWidth="1"/>
    <col min="476" max="476" width="19.7109375" style="72" customWidth="1"/>
    <col min="477" max="477" width="1.85546875" style="72" customWidth="1"/>
    <col min="478" max="480" width="3" style="72" customWidth="1"/>
    <col min="481" max="481" width="4.42578125" style="72" customWidth="1"/>
    <col min="482" max="483" width="3" style="72" customWidth="1"/>
    <col min="484" max="489" width="3.28515625" style="72" customWidth="1"/>
    <col min="490" max="491" width="9.140625" style="72" customWidth="1"/>
    <col min="492" max="495" width="3.28515625" style="72" customWidth="1"/>
    <col min="496" max="496" width="4.140625" style="72" customWidth="1"/>
    <col min="497" max="497" width="1.7109375" style="72" customWidth="1"/>
    <col min="498" max="502" width="3.28515625" style="72" customWidth="1"/>
    <col min="503" max="503" width="1.7109375" style="72" customWidth="1"/>
    <col min="504" max="508" width="3.28515625" style="72" customWidth="1"/>
    <col min="509" max="514" width="9.140625" style="72" customWidth="1"/>
    <col min="515" max="515" width="1.7109375" style="72" customWidth="1"/>
    <col min="516" max="520" width="3.28515625" style="72" customWidth="1"/>
    <col min="521" max="521" width="1.7109375" style="72" customWidth="1"/>
    <col min="522" max="522" width="16.5703125" style="72" bestFit="1" customWidth="1"/>
    <col min="523" max="524" width="10.28515625" style="72" customWidth="1"/>
    <col min="525" max="525" width="18" style="72" bestFit="1" customWidth="1"/>
    <col min="526" max="710" width="9.140625" style="72"/>
    <col min="711" max="718" width="9.140625" style="72" customWidth="1"/>
    <col min="719" max="719" width="10.140625" style="72" customWidth="1"/>
    <col min="720" max="720" width="1" style="72" customWidth="1"/>
    <col min="721" max="723" width="3.28515625" style="72" customWidth="1"/>
    <col min="724" max="724" width="1.85546875" style="72" customWidth="1"/>
    <col min="725" max="725" width="17.85546875" style="72" customWidth="1"/>
    <col min="726" max="726" width="1.85546875" style="72" customWidth="1"/>
    <col min="727" max="729" width="3.28515625" style="72" customWidth="1"/>
    <col min="730" max="730" width="2.85546875" style="72" customWidth="1"/>
    <col min="731" max="731" width="1.85546875" style="72" customWidth="1"/>
    <col min="732" max="732" width="19.7109375" style="72" customWidth="1"/>
    <col min="733" max="733" width="1.85546875" style="72" customWidth="1"/>
    <col min="734" max="736" width="3" style="72" customWidth="1"/>
    <col min="737" max="737" width="4.42578125" style="72" customWidth="1"/>
    <col min="738" max="739" width="3" style="72" customWidth="1"/>
    <col min="740" max="745" width="3.28515625" style="72" customWidth="1"/>
    <col min="746" max="747" width="9.140625" style="72" customWidth="1"/>
    <col min="748" max="751" width="3.28515625" style="72" customWidth="1"/>
    <col min="752" max="752" width="4.140625" style="72" customWidth="1"/>
    <col min="753" max="753" width="1.7109375" style="72" customWidth="1"/>
    <col min="754" max="758" width="3.28515625" style="72" customWidth="1"/>
    <col min="759" max="759" width="1.7109375" style="72" customWidth="1"/>
    <col min="760" max="764" width="3.28515625" style="72" customWidth="1"/>
    <col min="765" max="770" width="9.140625" style="72" customWidth="1"/>
    <col min="771" max="771" width="1.7109375" style="72" customWidth="1"/>
    <col min="772" max="776" width="3.28515625" style="72" customWidth="1"/>
    <col min="777" max="777" width="1.7109375" style="72" customWidth="1"/>
    <col min="778" max="778" width="16.5703125" style="72" bestFit="1" customWidth="1"/>
    <col min="779" max="780" width="10.28515625" style="72" customWidth="1"/>
    <col min="781" max="781" width="18" style="72" bestFit="1" customWidth="1"/>
    <col min="782" max="966" width="9.140625" style="72"/>
    <col min="967" max="974" width="9.140625" style="72" customWidth="1"/>
    <col min="975" max="975" width="10.140625" style="72" customWidth="1"/>
    <col min="976" max="976" width="1" style="72" customWidth="1"/>
    <col min="977" max="979" width="3.28515625" style="72" customWidth="1"/>
    <col min="980" max="980" width="1.85546875" style="72" customWidth="1"/>
    <col min="981" max="981" width="17.85546875" style="72" customWidth="1"/>
    <col min="982" max="982" width="1.85546875" style="72" customWidth="1"/>
    <col min="983" max="985" width="3.28515625" style="72" customWidth="1"/>
    <col min="986" max="986" width="2.85546875" style="72" customWidth="1"/>
    <col min="987" max="987" width="1.85546875" style="72" customWidth="1"/>
    <col min="988" max="988" width="19.7109375" style="72" customWidth="1"/>
    <col min="989" max="989" width="1.85546875" style="72" customWidth="1"/>
    <col min="990" max="992" width="3" style="72" customWidth="1"/>
    <col min="993" max="993" width="4.42578125" style="72" customWidth="1"/>
    <col min="994" max="995" width="3" style="72" customWidth="1"/>
    <col min="996" max="1001" width="3.28515625" style="72" customWidth="1"/>
    <col min="1002" max="1003" width="9.140625" style="72" customWidth="1"/>
    <col min="1004" max="1007" width="3.28515625" style="72" customWidth="1"/>
    <col min="1008" max="1008" width="4.140625" style="72" customWidth="1"/>
    <col min="1009" max="1009" width="1.7109375" style="72" customWidth="1"/>
    <col min="1010" max="1014" width="3.28515625" style="72" customWidth="1"/>
    <col min="1015" max="1015" width="1.7109375" style="72" customWidth="1"/>
    <col min="1016" max="1020" width="3.28515625" style="72" customWidth="1"/>
    <col min="1021" max="1026" width="9.140625" style="72" customWidth="1"/>
    <col min="1027" max="1027" width="1.7109375" style="72" customWidth="1"/>
    <col min="1028" max="1032" width="3.28515625" style="72" customWidth="1"/>
    <col min="1033" max="1033" width="1.7109375" style="72" customWidth="1"/>
    <col min="1034" max="1034" width="16.5703125" style="72" bestFit="1" customWidth="1"/>
    <col min="1035" max="1036" width="10.28515625" style="72" customWidth="1"/>
    <col min="1037" max="1037" width="18" style="72" bestFit="1" customWidth="1"/>
    <col min="1038" max="1222" width="9.140625" style="72"/>
    <col min="1223" max="1230" width="9.140625" style="72" customWidth="1"/>
    <col min="1231" max="1231" width="10.140625" style="72" customWidth="1"/>
    <col min="1232" max="1232" width="1" style="72" customWidth="1"/>
    <col min="1233" max="1235" width="3.28515625" style="72" customWidth="1"/>
    <col min="1236" max="1236" width="1.85546875" style="72" customWidth="1"/>
    <col min="1237" max="1237" width="17.85546875" style="72" customWidth="1"/>
    <col min="1238" max="1238" width="1.85546875" style="72" customWidth="1"/>
    <col min="1239" max="1241" width="3.28515625" style="72" customWidth="1"/>
    <col min="1242" max="1242" width="2.85546875" style="72" customWidth="1"/>
    <col min="1243" max="1243" width="1.85546875" style="72" customWidth="1"/>
    <col min="1244" max="1244" width="19.7109375" style="72" customWidth="1"/>
    <col min="1245" max="1245" width="1.85546875" style="72" customWidth="1"/>
    <col min="1246" max="1248" width="3" style="72" customWidth="1"/>
    <col min="1249" max="1249" width="4.42578125" style="72" customWidth="1"/>
    <col min="1250" max="1251" width="3" style="72" customWidth="1"/>
    <col min="1252" max="1257" width="3.28515625" style="72" customWidth="1"/>
    <col min="1258" max="1259" width="9.140625" style="72" customWidth="1"/>
    <col min="1260" max="1263" width="3.28515625" style="72" customWidth="1"/>
    <col min="1264" max="1264" width="4.140625" style="72" customWidth="1"/>
    <col min="1265" max="1265" width="1.7109375" style="72" customWidth="1"/>
    <col min="1266" max="1270" width="3.28515625" style="72" customWidth="1"/>
    <col min="1271" max="1271" width="1.7109375" style="72" customWidth="1"/>
    <col min="1272" max="1276" width="3.28515625" style="72" customWidth="1"/>
    <col min="1277" max="1282" width="9.140625" style="72" customWidth="1"/>
    <col min="1283" max="1283" width="1.7109375" style="72" customWidth="1"/>
    <col min="1284" max="1288" width="3.28515625" style="72" customWidth="1"/>
    <col min="1289" max="1289" width="1.7109375" style="72" customWidth="1"/>
    <col min="1290" max="1290" width="16.5703125" style="72" bestFit="1" customWidth="1"/>
    <col min="1291" max="1292" width="10.28515625" style="72" customWidth="1"/>
    <col min="1293" max="1293" width="18" style="72" bestFit="1" customWidth="1"/>
    <col min="1294" max="1478" width="9.140625" style="72"/>
    <col min="1479" max="1486" width="9.140625" style="72" customWidth="1"/>
    <col min="1487" max="1487" width="10.140625" style="72" customWidth="1"/>
    <col min="1488" max="1488" width="1" style="72" customWidth="1"/>
    <col min="1489" max="1491" width="3.28515625" style="72" customWidth="1"/>
    <col min="1492" max="1492" width="1.85546875" style="72" customWidth="1"/>
    <col min="1493" max="1493" width="17.85546875" style="72" customWidth="1"/>
    <col min="1494" max="1494" width="1.85546875" style="72" customWidth="1"/>
    <col min="1495" max="1497" width="3.28515625" style="72" customWidth="1"/>
    <col min="1498" max="1498" width="2.85546875" style="72" customWidth="1"/>
    <col min="1499" max="1499" width="1.85546875" style="72" customWidth="1"/>
    <col min="1500" max="1500" width="19.7109375" style="72" customWidth="1"/>
    <col min="1501" max="1501" width="1.85546875" style="72" customWidth="1"/>
    <col min="1502" max="1504" width="3" style="72" customWidth="1"/>
    <col min="1505" max="1505" width="4.42578125" style="72" customWidth="1"/>
    <col min="1506" max="1507" width="3" style="72" customWidth="1"/>
    <col min="1508" max="1513" width="3.28515625" style="72" customWidth="1"/>
    <col min="1514" max="1515" width="9.140625" style="72" customWidth="1"/>
    <col min="1516" max="1519" width="3.28515625" style="72" customWidth="1"/>
    <col min="1520" max="1520" width="4.140625" style="72" customWidth="1"/>
    <col min="1521" max="1521" width="1.7109375" style="72" customWidth="1"/>
    <col min="1522" max="1526" width="3.28515625" style="72" customWidth="1"/>
    <col min="1527" max="1527" width="1.7109375" style="72" customWidth="1"/>
    <col min="1528" max="1532" width="3.28515625" style="72" customWidth="1"/>
    <col min="1533" max="1538" width="9.140625" style="72" customWidth="1"/>
    <col min="1539" max="1539" width="1.7109375" style="72" customWidth="1"/>
    <col min="1540" max="1544" width="3.28515625" style="72" customWidth="1"/>
    <col min="1545" max="1545" width="1.7109375" style="72" customWidth="1"/>
    <col min="1546" max="1546" width="16.5703125" style="72" bestFit="1" customWidth="1"/>
    <col min="1547" max="1548" width="10.28515625" style="72" customWidth="1"/>
    <col min="1549" max="1549" width="18" style="72" bestFit="1" customWidth="1"/>
    <col min="1550" max="1734" width="9.140625" style="72"/>
    <col min="1735" max="1742" width="9.140625" style="72" customWidth="1"/>
    <col min="1743" max="1743" width="10.140625" style="72" customWidth="1"/>
    <col min="1744" max="1744" width="1" style="72" customWidth="1"/>
    <col min="1745" max="1747" width="3.28515625" style="72" customWidth="1"/>
    <col min="1748" max="1748" width="1.85546875" style="72" customWidth="1"/>
    <col min="1749" max="1749" width="17.85546875" style="72" customWidth="1"/>
    <col min="1750" max="1750" width="1.85546875" style="72" customWidth="1"/>
    <col min="1751" max="1753" width="3.28515625" style="72" customWidth="1"/>
    <col min="1754" max="1754" width="2.85546875" style="72" customWidth="1"/>
    <col min="1755" max="1755" width="1.85546875" style="72" customWidth="1"/>
    <col min="1756" max="1756" width="19.7109375" style="72" customWidth="1"/>
    <col min="1757" max="1757" width="1.85546875" style="72" customWidth="1"/>
    <col min="1758" max="1760" width="3" style="72" customWidth="1"/>
    <col min="1761" max="1761" width="4.42578125" style="72" customWidth="1"/>
    <col min="1762" max="1763" width="3" style="72" customWidth="1"/>
    <col min="1764" max="1769" width="3.28515625" style="72" customWidth="1"/>
    <col min="1770" max="1771" width="9.140625" style="72" customWidth="1"/>
    <col min="1772" max="1775" width="3.28515625" style="72" customWidth="1"/>
    <col min="1776" max="1776" width="4.140625" style="72" customWidth="1"/>
    <col min="1777" max="1777" width="1.7109375" style="72" customWidth="1"/>
    <col min="1778" max="1782" width="3.28515625" style="72" customWidth="1"/>
    <col min="1783" max="1783" width="1.7109375" style="72" customWidth="1"/>
    <col min="1784" max="1788" width="3.28515625" style="72" customWidth="1"/>
    <col min="1789" max="1794" width="9.140625" style="72" customWidth="1"/>
    <col min="1795" max="1795" width="1.7109375" style="72" customWidth="1"/>
    <col min="1796" max="1800" width="3.28515625" style="72" customWidth="1"/>
    <col min="1801" max="1801" width="1.7109375" style="72" customWidth="1"/>
    <col min="1802" max="1802" width="16.5703125" style="72" bestFit="1" customWidth="1"/>
    <col min="1803" max="1804" width="10.28515625" style="72" customWidth="1"/>
    <col min="1805" max="1805" width="18" style="72" bestFit="1" customWidth="1"/>
    <col min="1806" max="1990" width="9.140625" style="72"/>
    <col min="1991" max="1998" width="9.140625" style="72" customWidth="1"/>
    <col min="1999" max="1999" width="10.140625" style="72" customWidth="1"/>
    <col min="2000" max="2000" width="1" style="72" customWidth="1"/>
    <col min="2001" max="2003" width="3.28515625" style="72" customWidth="1"/>
    <col min="2004" max="2004" width="1.85546875" style="72" customWidth="1"/>
    <col min="2005" max="2005" width="17.85546875" style="72" customWidth="1"/>
    <col min="2006" max="2006" width="1.85546875" style="72" customWidth="1"/>
    <col min="2007" max="2009" width="3.28515625" style="72" customWidth="1"/>
    <col min="2010" max="2010" width="2.85546875" style="72" customWidth="1"/>
    <col min="2011" max="2011" width="1.85546875" style="72" customWidth="1"/>
    <col min="2012" max="2012" width="19.7109375" style="72" customWidth="1"/>
    <col min="2013" max="2013" width="1.85546875" style="72" customWidth="1"/>
    <col min="2014" max="2016" width="3" style="72" customWidth="1"/>
    <col min="2017" max="2017" width="4.42578125" style="72" customWidth="1"/>
    <col min="2018" max="2019" width="3" style="72" customWidth="1"/>
    <col min="2020" max="2025" width="3.28515625" style="72" customWidth="1"/>
    <col min="2026" max="2027" width="9.140625" style="72" customWidth="1"/>
    <col min="2028" max="2031" width="3.28515625" style="72" customWidth="1"/>
    <col min="2032" max="2032" width="4.140625" style="72" customWidth="1"/>
    <col min="2033" max="2033" width="1.7109375" style="72" customWidth="1"/>
    <col min="2034" max="2038" width="3.28515625" style="72" customWidth="1"/>
    <col min="2039" max="2039" width="1.7109375" style="72" customWidth="1"/>
    <col min="2040" max="2044" width="3.28515625" style="72" customWidth="1"/>
    <col min="2045" max="2050" width="9.140625" style="72" customWidth="1"/>
    <col min="2051" max="2051" width="1.7109375" style="72" customWidth="1"/>
    <col min="2052" max="2056" width="3.28515625" style="72" customWidth="1"/>
    <col min="2057" max="2057" width="1.7109375" style="72" customWidth="1"/>
    <col min="2058" max="2058" width="16.5703125" style="72" bestFit="1" customWidth="1"/>
    <col min="2059" max="2060" width="10.28515625" style="72" customWidth="1"/>
    <col min="2061" max="2061" width="18" style="72" bestFit="1" customWidth="1"/>
    <col min="2062" max="2246" width="9.140625" style="72"/>
    <col min="2247" max="2254" width="9.140625" style="72" customWidth="1"/>
    <col min="2255" max="2255" width="10.140625" style="72" customWidth="1"/>
    <col min="2256" max="2256" width="1" style="72" customWidth="1"/>
    <col min="2257" max="2259" width="3.28515625" style="72" customWidth="1"/>
    <col min="2260" max="2260" width="1.85546875" style="72" customWidth="1"/>
    <col min="2261" max="2261" width="17.85546875" style="72" customWidth="1"/>
    <col min="2262" max="2262" width="1.85546875" style="72" customWidth="1"/>
    <col min="2263" max="2265" width="3.28515625" style="72" customWidth="1"/>
    <col min="2266" max="2266" width="2.85546875" style="72" customWidth="1"/>
    <col min="2267" max="2267" width="1.85546875" style="72" customWidth="1"/>
    <col min="2268" max="2268" width="19.7109375" style="72" customWidth="1"/>
    <col min="2269" max="2269" width="1.85546875" style="72" customWidth="1"/>
    <col min="2270" max="2272" width="3" style="72" customWidth="1"/>
    <col min="2273" max="2273" width="4.42578125" style="72" customWidth="1"/>
    <col min="2274" max="2275" width="3" style="72" customWidth="1"/>
    <col min="2276" max="2281" width="3.28515625" style="72" customWidth="1"/>
    <col min="2282" max="2283" width="9.140625" style="72" customWidth="1"/>
    <col min="2284" max="2287" width="3.28515625" style="72" customWidth="1"/>
    <col min="2288" max="2288" width="4.140625" style="72" customWidth="1"/>
    <col min="2289" max="2289" width="1.7109375" style="72" customWidth="1"/>
    <col min="2290" max="2294" width="3.28515625" style="72" customWidth="1"/>
    <col min="2295" max="2295" width="1.7109375" style="72" customWidth="1"/>
    <col min="2296" max="2300" width="3.28515625" style="72" customWidth="1"/>
    <col min="2301" max="2306" width="9.140625" style="72" customWidth="1"/>
    <col min="2307" max="2307" width="1.7109375" style="72" customWidth="1"/>
    <col min="2308" max="2312" width="3.28515625" style="72" customWidth="1"/>
    <col min="2313" max="2313" width="1.7109375" style="72" customWidth="1"/>
    <col min="2314" max="2314" width="16.5703125" style="72" bestFit="1" customWidth="1"/>
    <col min="2315" max="2316" width="10.28515625" style="72" customWidth="1"/>
    <col min="2317" max="2317" width="18" style="72" bestFit="1" customWidth="1"/>
    <col min="2318" max="2502" width="9.140625" style="72"/>
    <col min="2503" max="2510" width="9.140625" style="72" customWidth="1"/>
    <col min="2511" max="2511" width="10.140625" style="72" customWidth="1"/>
    <col min="2512" max="2512" width="1" style="72" customWidth="1"/>
    <col min="2513" max="2515" width="3.28515625" style="72" customWidth="1"/>
    <col min="2516" max="2516" width="1.85546875" style="72" customWidth="1"/>
    <col min="2517" max="2517" width="17.85546875" style="72" customWidth="1"/>
    <col min="2518" max="2518" width="1.85546875" style="72" customWidth="1"/>
    <col min="2519" max="2521" width="3.28515625" style="72" customWidth="1"/>
    <col min="2522" max="2522" width="2.85546875" style="72" customWidth="1"/>
    <col min="2523" max="2523" width="1.85546875" style="72" customWidth="1"/>
    <col min="2524" max="2524" width="19.7109375" style="72" customWidth="1"/>
    <col min="2525" max="2525" width="1.85546875" style="72" customWidth="1"/>
    <col min="2526" max="2528" width="3" style="72" customWidth="1"/>
    <col min="2529" max="2529" width="4.42578125" style="72" customWidth="1"/>
    <col min="2530" max="2531" width="3" style="72" customWidth="1"/>
    <col min="2532" max="2537" width="3.28515625" style="72" customWidth="1"/>
    <col min="2538" max="2539" width="9.140625" style="72" customWidth="1"/>
    <col min="2540" max="2543" width="3.28515625" style="72" customWidth="1"/>
    <col min="2544" max="2544" width="4.140625" style="72" customWidth="1"/>
    <col min="2545" max="2545" width="1.7109375" style="72" customWidth="1"/>
    <col min="2546" max="2550" width="3.28515625" style="72" customWidth="1"/>
    <col min="2551" max="2551" width="1.7109375" style="72" customWidth="1"/>
    <col min="2552" max="2556" width="3.28515625" style="72" customWidth="1"/>
    <col min="2557" max="2562" width="9.140625" style="72" customWidth="1"/>
    <col min="2563" max="2563" width="1.7109375" style="72" customWidth="1"/>
    <col min="2564" max="2568" width="3.28515625" style="72" customWidth="1"/>
    <col min="2569" max="2569" width="1.7109375" style="72" customWidth="1"/>
    <col min="2570" max="2570" width="16.5703125" style="72" bestFit="1" customWidth="1"/>
    <col min="2571" max="2572" width="10.28515625" style="72" customWidth="1"/>
    <col min="2573" max="2573" width="18" style="72" bestFit="1" customWidth="1"/>
    <col min="2574" max="2758" width="9.140625" style="72"/>
    <col min="2759" max="2766" width="9.140625" style="72" customWidth="1"/>
    <col min="2767" max="2767" width="10.140625" style="72" customWidth="1"/>
    <col min="2768" max="2768" width="1" style="72" customWidth="1"/>
    <col min="2769" max="2771" width="3.28515625" style="72" customWidth="1"/>
    <col min="2772" max="2772" width="1.85546875" style="72" customWidth="1"/>
    <col min="2773" max="2773" width="17.85546875" style="72" customWidth="1"/>
    <col min="2774" max="2774" width="1.85546875" style="72" customWidth="1"/>
    <col min="2775" max="2777" width="3.28515625" style="72" customWidth="1"/>
    <col min="2778" max="2778" width="2.85546875" style="72" customWidth="1"/>
    <col min="2779" max="2779" width="1.85546875" style="72" customWidth="1"/>
    <col min="2780" max="2780" width="19.7109375" style="72" customWidth="1"/>
    <col min="2781" max="2781" width="1.85546875" style="72" customWidth="1"/>
    <col min="2782" max="2784" width="3" style="72" customWidth="1"/>
    <col min="2785" max="2785" width="4.42578125" style="72" customWidth="1"/>
    <col min="2786" max="2787" width="3" style="72" customWidth="1"/>
    <col min="2788" max="2793" width="3.28515625" style="72" customWidth="1"/>
    <col min="2794" max="2795" width="9.140625" style="72" customWidth="1"/>
    <col min="2796" max="2799" width="3.28515625" style="72" customWidth="1"/>
    <col min="2800" max="2800" width="4.140625" style="72" customWidth="1"/>
    <col min="2801" max="2801" width="1.7109375" style="72" customWidth="1"/>
    <col min="2802" max="2806" width="3.28515625" style="72" customWidth="1"/>
    <col min="2807" max="2807" width="1.7109375" style="72" customWidth="1"/>
    <col min="2808" max="2812" width="3.28515625" style="72" customWidth="1"/>
    <col min="2813" max="2818" width="9.140625" style="72" customWidth="1"/>
    <col min="2819" max="2819" width="1.7109375" style="72" customWidth="1"/>
    <col min="2820" max="2824" width="3.28515625" style="72" customWidth="1"/>
    <col min="2825" max="2825" width="1.7109375" style="72" customWidth="1"/>
    <col min="2826" max="2826" width="16.5703125" style="72" bestFit="1" customWidth="1"/>
    <col min="2827" max="2828" width="10.28515625" style="72" customWidth="1"/>
    <col min="2829" max="2829" width="18" style="72" bestFit="1" customWidth="1"/>
    <col min="2830" max="3014" width="9.140625" style="72"/>
    <col min="3015" max="3022" width="9.140625" style="72" customWidth="1"/>
    <col min="3023" max="3023" width="10.140625" style="72" customWidth="1"/>
    <col min="3024" max="3024" width="1" style="72" customWidth="1"/>
    <col min="3025" max="3027" width="3.28515625" style="72" customWidth="1"/>
    <col min="3028" max="3028" width="1.85546875" style="72" customWidth="1"/>
    <col min="3029" max="3029" width="17.85546875" style="72" customWidth="1"/>
    <col min="3030" max="3030" width="1.85546875" style="72" customWidth="1"/>
    <col min="3031" max="3033" width="3.28515625" style="72" customWidth="1"/>
    <col min="3034" max="3034" width="2.85546875" style="72" customWidth="1"/>
    <col min="3035" max="3035" width="1.85546875" style="72" customWidth="1"/>
    <col min="3036" max="3036" width="19.7109375" style="72" customWidth="1"/>
    <col min="3037" max="3037" width="1.85546875" style="72" customWidth="1"/>
    <col min="3038" max="3040" width="3" style="72" customWidth="1"/>
    <col min="3041" max="3041" width="4.42578125" style="72" customWidth="1"/>
    <col min="3042" max="3043" width="3" style="72" customWidth="1"/>
    <col min="3044" max="3049" width="3.28515625" style="72" customWidth="1"/>
    <col min="3050" max="3051" width="9.140625" style="72" customWidth="1"/>
    <col min="3052" max="3055" width="3.28515625" style="72" customWidth="1"/>
    <col min="3056" max="3056" width="4.140625" style="72" customWidth="1"/>
    <col min="3057" max="3057" width="1.7109375" style="72" customWidth="1"/>
    <col min="3058" max="3062" width="3.28515625" style="72" customWidth="1"/>
    <col min="3063" max="3063" width="1.7109375" style="72" customWidth="1"/>
    <col min="3064" max="3068" width="3.28515625" style="72" customWidth="1"/>
    <col min="3069" max="3074" width="9.140625" style="72" customWidth="1"/>
    <col min="3075" max="3075" width="1.7109375" style="72" customWidth="1"/>
    <col min="3076" max="3080" width="3.28515625" style="72" customWidth="1"/>
    <col min="3081" max="3081" width="1.7109375" style="72" customWidth="1"/>
    <col min="3082" max="3082" width="16.5703125" style="72" bestFit="1" customWidth="1"/>
    <col min="3083" max="3084" width="10.28515625" style="72" customWidth="1"/>
    <col min="3085" max="3085" width="18" style="72" bestFit="1" customWidth="1"/>
    <col min="3086" max="3270" width="9.140625" style="72"/>
    <col min="3271" max="3278" width="9.140625" style="72" customWidth="1"/>
    <col min="3279" max="3279" width="10.140625" style="72" customWidth="1"/>
    <col min="3280" max="3280" width="1" style="72" customWidth="1"/>
    <col min="3281" max="3283" width="3.28515625" style="72" customWidth="1"/>
    <col min="3284" max="3284" width="1.85546875" style="72" customWidth="1"/>
    <col min="3285" max="3285" width="17.85546875" style="72" customWidth="1"/>
    <col min="3286" max="3286" width="1.85546875" style="72" customWidth="1"/>
    <col min="3287" max="3289" width="3.28515625" style="72" customWidth="1"/>
    <col min="3290" max="3290" width="2.85546875" style="72" customWidth="1"/>
    <col min="3291" max="3291" width="1.85546875" style="72" customWidth="1"/>
    <col min="3292" max="3292" width="19.7109375" style="72" customWidth="1"/>
    <col min="3293" max="3293" width="1.85546875" style="72" customWidth="1"/>
    <col min="3294" max="3296" width="3" style="72" customWidth="1"/>
    <col min="3297" max="3297" width="4.42578125" style="72" customWidth="1"/>
    <col min="3298" max="3299" width="3" style="72" customWidth="1"/>
    <col min="3300" max="3305" width="3.28515625" style="72" customWidth="1"/>
    <col min="3306" max="3307" width="9.140625" style="72" customWidth="1"/>
    <col min="3308" max="3311" width="3.28515625" style="72" customWidth="1"/>
    <col min="3312" max="3312" width="4.140625" style="72" customWidth="1"/>
    <col min="3313" max="3313" width="1.7109375" style="72" customWidth="1"/>
    <col min="3314" max="3318" width="3.28515625" style="72" customWidth="1"/>
    <col min="3319" max="3319" width="1.7109375" style="72" customWidth="1"/>
    <col min="3320" max="3324" width="3.28515625" style="72" customWidth="1"/>
    <col min="3325" max="3330" width="9.140625" style="72" customWidth="1"/>
    <col min="3331" max="3331" width="1.7109375" style="72" customWidth="1"/>
    <col min="3332" max="3336" width="3.28515625" style="72" customWidth="1"/>
    <col min="3337" max="3337" width="1.7109375" style="72" customWidth="1"/>
    <col min="3338" max="3338" width="16.5703125" style="72" bestFit="1" customWidth="1"/>
    <col min="3339" max="3340" width="10.28515625" style="72" customWidth="1"/>
    <col min="3341" max="3341" width="18" style="72" bestFit="1" customWidth="1"/>
    <col min="3342" max="3526" width="9.140625" style="72"/>
    <col min="3527" max="3534" width="9.140625" style="72" customWidth="1"/>
    <col min="3535" max="3535" width="10.140625" style="72" customWidth="1"/>
    <col min="3536" max="3536" width="1" style="72" customWidth="1"/>
    <col min="3537" max="3539" width="3.28515625" style="72" customWidth="1"/>
    <col min="3540" max="3540" width="1.85546875" style="72" customWidth="1"/>
    <col min="3541" max="3541" width="17.85546875" style="72" customWidth="1"/>
    <col min="3542" max="3542" width="1.85546875" style="72" customWidth="1"/>
    <col min="3543" max="3545" width="3.28515625" style="72" customWidth="1"/>
    <col min="3546" max="3546" width="2.85546875" style="72" customWidth="1"/>
    <col min="3547" max="3547" width="1.85546875" style="72" customWidth="1"/>
    <col min="3548" max="3548" width="19.7109375" style="72" customWidth="1"/>
    <col min="3549" max="3549" width="1.85546875" style="72" customWidth="1"/>
    <col min="3550" max="3552" width="3" style="72" customWidth="1"/>
    <col min="3553" max="3553" width="4.42578125" style="72" customWidth="1"/>
    <col min="3554" max="3555" width="3" style="72" customWidth="1"/>
    <col min="3556" max="3561" width="3.28515625" style="72" customWidth="1"/>
    <col min="3562" max="3563" width="9.140625" style="72" customWidth="1"/>
    <col min="3564" max="3567" width="3.28515625" style="72" customWidth="1"/>
    <col min="3568" max="3568" width="4.140625" style="72" customWidth="1"/>
    <col min="3569" max="3569" width="1.7109375" style="72" customWidth="1"/>
    <col min="3570" max="3574" width="3.28515625" style="72" customWidth="1"/>
    <col min="3575" max="3575" width="1.7109375" style="72" customWidth="1"/>
    <col min="3576" max="3580" width="3.28515625" style="72" customWidth="1"/>
    <col min="3581" max="3586" width="9.140625" style="72" customWidth="1"/>
    <col min="3587" max="3587" width="1.7109375" style="72" customWidth="1"/>
    <col min="3588" max="3592" width="3.28515625" style="72" customWidth="1"/>
    <col min="3593" max="3593" width="1.7109375" style="72" customWidth="1"/>
    <col min="3594" max="3594" width="16.5703125" style="72" bestFit="1" customWidth="1"/>
    <col min="3595" max="3596" width="10.28515625" style="72" customWidth="1"/>
    <col min="3597" max="3597" width="18" style="72" bestFit="1" customWidth="1"/>
    <col min="3598" max="3782" width="9.140625" style="72"/>
    <col min="3783" max="3790" width="9.140625" style="72" customWidth="1"/>
    <col min="3791" max="3791" width="10.140625" style="72" customWidth="1"/>
    <col min="3792" max="3792" width="1" style="72" customWidth="1"/>
    <col min="3793" max="3795" width="3.28515625" style="72" customWidth="1"/>
    <col min="3796" max="3796" width="1.85546875" style="72" customWidth="1"/>
    <col min="3797" max="3797" width="17.85546875" style="72" customWidth="1"/>
    <col min="3798" max="3798" width="1.85546875" style="72" customWidth="1"/>
    <col min="3799" max="3801" width="3.28515625" style="72" customWidth="1"/>
    <col min="3802" max="3802" width="2.85546875" style="72" customWidth="1"/>
    <col min="3803" max="3803" width="1.85546875" style="72" customWidth="1"/>
    <col min="3804" max="3804" width="19.7109375" style="72" customWidth="1"/>
    <col min="3805" max="3805" width="1.85546875" style="72" customWidth="1"/>
    <col min="3806" max="3808" width="3" style="72" customWidth="1"/>
    <col min="3809" max="3809" width="4.42578125" style="72" customWidth="1"/>
    <col min="3810" max="3811" width="3" style="72" customWidth="1"/>
    <col min="3812" max="3817" width="3.28515625" style="72" customWidth="1"/>
    <col min="3818" max="3819" width="9.140625" style="72" customWidth="1"/>
    <col min="3820" max="3823" width="3.28515625" style="72" customWidth="1"/>
    <col min="3824" max="3824" width="4.140625" style="72" customWidth="1"/>
    <col min="3825" max="3825" width="1.7109375" style="72" customWidth="1"/>
    <col min="3826" max="3830" width="3.28515625" style="72" customWidth="1"/>
    <col min="3831" max="3831" width="1.7109375" style="72" customWidth="1"/>
    <col min="3832" max="3836" width="3.28515625" style="72" customWidth="1"/>
    <col min="3837" max="3842" width="9.140625" style="72" customWidth="1"/>
    <col min="3843" max="3843" width="1.7109375" style="72" customWidth="1"/>
    <col min="3844" max="3848" width="3.28515625" style="72" customWidth="1"/>
    <col min="3849" max="3849" width="1.7109375" style="72" customWidth="1"/>
    <col min="3850" max="3850" width="16.5703125" style="72" bestFit="1" customWidth="1"/>
    <col min="3851" max="3852" width="10.28515625" style="72" customWidth="1"/>
    <col min="3853" max="3853" width="18" style="72" bestFit="1" customWidth="1"/>
    <col min="3854" max="4038" width="9.140625" style="72"/>
    <col min="4039" max="4046" width="9.140625" style="72" customWidth="1"/>
    <col min="4047" max="4047" width="10.140625" style="72" customWidth="1"/>
    <col min="4048" max="4048" width="1" style="72" customWidth="1"/>
    <col min="4049" max="4051" width="3.28515625" style="72" customWidth="1"/>
    <col min="4052" max="4052" width="1.85546875" style="72" customWidth="1"/>
    <col min="4053" max="4053" width="17.85546875" style="72" customWidth="1"/>
    <col min="4054" max="4054" width="1.85546875" style="72" customWidth="1"/>
    <col min="4055" max="4057" width="3.28515625" style="72" customWidth="1"/>
    <col min="4058" max="4058" width="2.85546875" style="72" customWidth="1"/>
    <col min="4059" max="4059" width="1.85546875" style="72" customWidth="1"/>
    <col min="4060" max="4060" width="19.7109375" style="72" customWidth="1"/>
    <col min="4061" max="4061" width="1.85546875" style="72" customWidth="1"/>
    <col min="4062" max="4064" width="3" style="72" customWidth="1"/>
    <col min="4065" max="4065" width="4.42578125" style="72" customWidth="1"/>
    <col min="4066" max="4067" width="3" style="72" customWidth="1"/>
    <col min="4068" max="4073" width="3.28515625" style="72" customWidth="1"/>
    <col min="4074" max="4075" width="9.140625" style="72" customWidth="1"/>
    <col min="4076" max="4079" width="3.28515625" style="72" customWidth="1"/>
    <col min="4080" max="4080" width="4.140625" style="72" customWidth="1"/>
    <col min="4081" max="4081" width="1.7109375" style="72" customWidth="1"/>
    <col min="4082" max="4086" width="3.28515625" style="72" customWidth="1"/>
    <col min="4087" max="4087" width="1.7109375" style="72" customWidth="1"/>
    <col min="4088" max="4092" width="3.28515625" style="72" customWidth="1"/>
    <col min="4093" max="4098" width="9.140625" style="72" customWidth="1"/>
    <col min="4099" max="4099" width="1.7109375" style="72" customWidth="1"/>
    <col min="4100" max="4104" width="3.28515625" style="72" customWidth="1"/>
    <col min="4105" max="4105" width="1.7109375" style="72" customWidth="1"/>
    <col min="4106" max="4106" width="16.5703125" style="72" bestFit="1" customWidth="1"/>
    <col min="4107" max="4108" width="10.28515625" style="72" customWidth="1"/>
    <col min="4109" max="4109" width="18" style="72" bestFit="1" customWidth="1"/>
    <col min="4110" max="4294" width="9.140625" style="72"/>
    <col min="4295" max="4302" width="9.140625" style="72" customWidth="1"/>
    <col min="4303" max="4303" width="10.140625" style="72" customWidth="1"/>
    <col min="4304" max="4304" width="1" style="72" customWidth="1"/>
    <col min="4305" max="4307" width="3.28515625" style="72" customWidth="1"/>
    <col min="4308" max="4308" width="1.85546875" style="72" customWidth="1"/>
    <col min="4309" max="4309" width="17.85546875" style="72" customWidth="1"/>
    <col min="4310" max="4310" width="1.85546875" style="72" customWidth="1"/>
    <col min="4311" max="4313" width="3.28515625" style="72" customWidth="1"/>
    <col min="4314" max="4314" width="2.85546875" style="72" customWidth="1"/>
    <col min="4315" max="4315" width="1.85546875" style="72" customWidth="1"/>
    <col min="4316" max="4316" width="19.7109375" style="72" customWidth="1"/>
    <col min="4317" max="4317" width="1.85546875" style="72" customWidth="1"/>
    <col min="4318" max="4320" width="3" style="72" customWidth="1"/>
    <col min="4321" max="4321" width="4.42578125" style="72" customWidth="1"/>
    <col min="4322" max="4323" width="3" style="72" customWidth="1"/>
    <col min="4324" max="4329" width="3.28515625" style="72" customWidth="1"/>
    <col min="4330" max="4331" width="9.140625" style="72" customWidth="1"/>
    <col min="4332" max="4335" width="3.28515625" style="72" customWidth="1"/>
    <col min="4336" max="4336" width="4.140625" style="72" customWidth="1"/>
    <col min="4337" max="4337" width="1.7109375" style="72" customWidth="1"/>
    <col min="4338" max="4342" width="3.28515625" style="72" customWidth="1"/>
    <col min="4343" max="4343" width="1.7109375" style="72" customWidth="1"/>
    <col min="4344" max="4348" width="3.28515625" style="72" customWidth="1"/>
    <col min="4349" max="4354" width="9.140625" style="72" customWidth="1"/>
    <col min="4355" max="4355" width="1.7109375" style="72" customWidth="1"/>
    <col min="4356" max="4360" width="3.28515625" style="72" customWidth="1"/>
    <col min="4361" max="4361" width="1.7109375" style="72" customWidth="1"/>
    <col min="4362" max="4362" width="16.5703125" style="72" bestFit="1" customWidth="1"/>
    <col min="4363" max="4364" width="10.28515625" style="72" customWidth="1"/>
    <col min="4365" max="4365" width="18" style="72" bestFit="1" customWidth="1"/>
    <col min="4366" max="4550" width="9.140625" style="72"/>
    <col min="4551" max="4558" width="9.140625" style="72" customWidth="1"/>
    <col min="4559" max="4559" width="10.140625" style="72" customWidth="1"/>
    <col min="4560" max="4560" width="1" style="72" customWidth="1"/>
    <col min="4561" max="4563" width="3.28515625" style="72" customWidth="1"/>
    <col min="4564" max="4564" width="1.85546875" style="72" customWidth="1"/>
    <col min="4565" max="4565" width="17.85546875" style="72" customWidth="1"/>
    <col min="4566" max="4566" width="1.85546875" style="72" customWidth="1"/>
    <col min="4567" max="4569" width="3.28515625" style="72" customWidth="1"/>
    <col min="4570" max="4570" width="2.85546875" style="72" customWidth="1"/>
    <col min="4571" max="4571" width="1.85546875" style="72" customWidth="1"/>
    <col min="4572" max="4572" width="19.7109375" style="72" customWidth="1"/>
    <col min="4573" max="4573" width="1.85546875" style="72" customWidth="1"/>
    <col min="4574" max="4576" width="3" style="72" customWidth="1"/>
    <col min="4577" max="4577" width="4.42578125" style="72" customWidth="1"/>
    <col min="4578" max="4579" width="3" style="72" customWidth="1"/>
    <col min="4580" max="4585" width="3.28515625" style="72" customWidth="1"/>
    <col min="4586" max="4587" width="9.140625" style="72" customWidth="1"/>
    <col min="4588" max="4591" width="3.28515625" style="72" customWidth="1"/>
    <col min="4592" max="4592" width="4.140625" style="72" customWidth="1"/>
    <col min="4593" max="4593" width="1.7109375" style="72" customWidth="1"/>
    <col min="4594" max="4598" width="3.28515625" style="72" customWidth="1"/>
    <col min="4599" max="4599" width="1.7109375" style="72" customWidth="1"/>
    <col min="4600" max="4604" width="3.28515625" style="72" customWidth="1"/>
    <col min="4605" max="4610" width="9.140625" style="72" customWidth="1"/>
    <col min="4611" max="4611" width="1.7109375" style="72" customWidth="1"/>
    <col min="4612" max="4616" width="3.28515625" style="72" customWidth="1"/>
    <col min="4617" max="4617" width="1.7109375" style="72" customWidth="1"/>
    <col min="4618" max="4618" width="16.5703125" style="72" bestFit="1" customWidth="1"/>
    <col min="4619" max="4620" width="10.28515625" style="72" customWidth="1"/>
    <col min="4621" max="4621" width="18" style="72" bestFit="1" customWidth="1"/>
    <col min="4622" max="4806" width="9.140625" style="72"/>
    <col min="4807" max="4814" width="9.140625" style="72" customWidth="1"/>
    <col min="4815" max="4815" width="10.140625" style="72" customWidth="1"/>
    <col min="4816" max="4816" width="1" style="72" customWidth="1"/>
    <col min="4817" max="4819" width="3.28515625" style="72" customWidth="1"/>
    <col min="4820" max="4820" width="1.85546875" style="72" customWidth="1"/>
    <col min="4821" max="4821" width="17.85546875" style="72" customWidth="1"/>
    <col min="4822" max="4822" width="1.85546875" style="72" customWidth="1"/>
    <col min="4823" max="4825" width="3.28515625" style="72" customWidth="1"/>
    <col min="4826" max="4826" width="2.85546875" style="72" customWidth="1"/>
    <col min="4827" max="4827" width="1.85546875" style="72" customWidth="1"/>
    <col min="4828" max="4828" width="19.7109375" style="72" customWidth="1"/>
    <col min="4829" max="4829" width="1.85546875" style="72" customWidth="1"/>
    <col min="4830" max="4832" width="3" style="72" customWidth="1"/>
    <col min="4833" max="4833" width="4.42578125" style="72" customWidth="1"/>
    <col min="4834" max="4835" width="3" style="72" customWidth="1"/>
    <col min="4836" max="4841" width="3.28515625" style="72" customWidth="1"/>
    <col min="4842" max="4843" width="9.140625" style="72" customWidth="1"/>
    <col min="4844" max="4847" width="3.28515625" style="72" customWidth="1"/>
    <col min="4848" max="4848" width="4.140625" style="72" customWidth="1"/>
    <col min="4849" max="4849" width="1.7109375" style="72" customWidth="1"/>
    <col min="4850" max="4854" width="3.28515625" style="72" customWidth="1"/>
    <col min="4855" max="4855" width="1.7109375" style="72" customWidth="1"/>
    <col min="4856" max="4860" width="3.28515625" style="72" customWidth="1"/>
    <col min="4861" max="4866" width="9.140625" style="72" customWidth="1"/>
    <col min="4867" max="4867" width="1.7109375" style="72" customWidth="1"/>
    <col min="4868" max="4872" width="3.28515625" style="72" customWidth="1"/>
    <col min="4873" max="4873" width="1.7109375" style="72" customWidth="1"/>
    <col min="4874" max="4874" width="16.5703125" style="72" bestFit="1" customWidth="1"/>
    <col min="4875" max="4876" width="10.28515625" style="72" customWidth="1"/>
    <col min="4877" max="4877" width="18" style="72" bestFit="1" customWidth="1"/>
    <col min="4878" max="5062" width="9.140625" style="72"/>
    <col min="5063" max="5070" width="9.140625" style="72" customWidth="1"/>
    <col min="5071" max="5071" width="10.140625" style="72" customWidth="1"/>
    <col min="5072" max="5072" width="1" style="72" customWidth="1"/>
    <col min="5073" max="5075" width="3.28515625" style="72" customWidth="1"/>
    <col min="5076" max="5076" width="1.85546875" style="72" customWidth="1"/>
    <col min="5077" max="5077" width="17.85546875" style="72" customWidth="1"/>
    <col min="5078" max="5078" width="1.85546875" style="72" customWidth="1"/>
    <col min="5079" max="5081" width="3.28515625" style="72" customWidth="1"/>
    <col min="5082" max="5082" width="2.85546875" style="72" customWidth="1"/>
    <col min="5083" max="5083" width="1.85546875" style="72" customWidth="1"/>
    <col min="5084" max="5084" width="19.7109375" style="72" customWidth="1"/>
    <col min="5085" max="5085" width="1.85546875" style="72" customWidth="1"/>
    <col min="5086" max="5088" width="3" style="72" customWidth="1"/>
    <col min="5089" max="5089" width="4.42578125" style="72" customWidth="1"/>
    <col min="5090" max="5091" width="3" style="72" customWidth="1"/>
    <col min="5092" max="5097" width="3.28515625" style="72" customWidth="1"/>
    <col min="5098" max="5099" width="9.140625" style="72" customWidth="1"/>
    <col min="5100" max="5103" width="3.28515625" style="72" customWidth="1"/>
    <col min="5104" max="5104" width="4.140625" style="72" customWidth="1"/>
    <col min="5105" max="5105" width="1.7109375" style="72" customWidth="1"/>
    <col min="5106" max="5110" width="3.28515625" style="72" customWidth="1"/>
    <col min="5111" max="5111" width="1.7109375" style="72" customWidth="1"/>
    <col min="5112" max="5116" width="3.28515625" style="72" customWidth="1"/>
    <col min="5117" max="5122" width="9.140625" style="72" customWidth="1"/>
    <col min="5123" max="5123" width="1.7109375" style="72" customWidth="1"/>
    <col min="5124" max="5128" width="3.28515625" style="72" customWidth="1"/>
    <col min="5129" max="5129" width="1.7109375" style="72" customWidth="1"/>
    <col min="5130" max="5130" width="16.5703125" style="72" bestFit="1" customWidth="1"/>
    <col min="5131" max="5132" width="10.28515625" style="72" customWidth="1"/>
    <col min="5133" max="5133" width="18" style="72" bestFit="1" customWidth="1"/>
    <col min="5134" max="5318" width="9.140625" style="72"/>
    <col min="5319" max="5326" width="9.140625" style="72" customWidth="1"/>
    <col min="5327" max="5327" width="10.140625" style="72" customWidth="1"/>
    <col min="5328" max="5328" width="1" style="72" customWidth="1"/>
    <col min="5329" max="5331" width="3.28515625" style="72" customWidth="1"/>
    <col min="5332" max="5332" width="1.85546875" style="72" customWidth="1"/>
    <col min="5333" max="5333" width="17.85546875" style="72" customWidth="1"/>
    <col min="5334" max="5334" width="1.85546875" style="72" customWidth="1"/>
    <col min="5335" max="5337" width="3.28515625" style="72" customWidth="1"/>
    <col min="5338" max="5338" width="2.85546875" style="72" customWidth="1"/>
    <col min="5339" max="5339" width="1.85546875" style="72" customWidth="1"/>
    <col min="5340" max="5340" width="19.7109375" style="72" customWidth="1"/>
    <col min="5341" max="5341" width="1.85546875" style="72" customWidth="1"/>
    <col min="5342" max="5344" width="3" style="72" customWidth="1"/>
    <col min="5345" max="5345" width="4.42578125" style="72" customWidth="1"/>
    <col min="5346" max="5347" width="3" style="72" customWidth="1"/>
    <col min="5348" max="5353" width="3.28515625" style="72" customWidth="1"/>
    <col min="5354" max="5355" width="9.140625" style="72" customWidth="1"/>
    <col min="5356" max="5359" width="3.28515625" style="72" customWidth="1"/>
    <col min="5360" max="5360" width="4.140625" style="72" customWidth="1"/>
    <col min="5361" max="5361" width="1.7109375" style="72" customWidth="1"/>
    <col min="5362" max="5366" width="3.28515625" style="72" customWidth="1"/>
    <col min="5367" max="5367" width="1.7109375" style="72" customWidth="1"/>
    <col min="5368" max="5372" width="3.28515625" style="72" customWidth="1"/>
    <col min="5373" max="5378" width="9.140625" style="72" customWidth="1"/>
    <col min="5379" max="5379" width="1.7109375" style="72" customWidth="1"/>
    <col min="5380" max="5384" width="3.28515625" style="72" customWidth="1"/>
    <col min="5385" max="5385" width="1.7109375" style="72" customWidth="1"/>
    <col min="5386" max="5386" width="16.5703125" style="72" bestFit="1" customWidth="1"/>
    <col min="5387" max="5388" width="10.28515625" style="72" customWidth="1"/>
    <col min="5389" max="5389" width="18" style="72" bestFit="1" customWidth="1"/>
    <col min="5390" max="5574" width="9.140625" style="72"/>
    <col min="5575" max="5582" width="9.140625" style="72" customWidth="1"/>
    <col min="5583" max="5583" width="10.140625" style="72" customWidth="1"/>
    <col min="5584" max="5584" width="1" style="72" customWidth="1"/>
    <col min="5585" max="5587" width="3.28515625" style="72" customWidth="1"/>
    <col min="5588" max="5588" width="1.85546875" style="72" customWidth="1"/>
    <col min="5589" max="5589" width="17.85546875" style="72" customWidth="1"/>
    <col min="5590" max="5590" width="1.85546875" style="72" customWidth="1"/>
    <col min="5591" max="5593" width="3.28515625" style="72" customWidth="1"/>
    <col min="5594" max="5594" width="2.85546875" style="72" customWidth="1"/>
    <col min="5595" max="5595" width="1.85546875" style="72" customWidth="1"/>
    <col min="5596" max="5596" width="19.7109375" style="72" customWidth="1"/>
    <col min="5597" max="5597" width="1.85546875" style="72" customWidth="1"/>
    <col min="5598" max="5600" width="3" style="72" customWidth="1"/>
    <col min="5601" max="5601" width="4.42578125" style="72" customWidth="1"/>
    <col min="5602" max="5603" width="3" style="72" customWidth="1"/>
    <col min="5604" max="5609" width="3.28515625" style="72" customWidth="1"/>
    <col min="5610" max="5611" width="9.140625" style="72" customWidth="1"/>
    <col min="5612" max="5615" width="3.28515625" style="72" customWidth="1"/>
    <col min="5616" max="5616" width="4.140625" style="72" customWidth="1"/>
    <col min="5617" max="5617" width="1.7109375" style="72" customWidth="1"/>
    <col min="5618" max="5622" width="3.28515625" style="72" customWidth="1"/>
    <col min="5623" max="5623" width="1.7109375" style="72" customWidth="1"/>
    <col min="5624" max="5628" width="3.28515625" style="72" customWidth="1"/>
    <col min="5629" max="5634" width="9.140625" style="72" customWidth="1"/>
    <col min="5635" max="5635" width="1.7109375" style="72" customWidth="1"/>
    <col min="5636" max="5640" width="3.28515625" style="72" customWidth="1"/>
    <col min="5641" max="5641" width="1.7109375" style="72" customWidth="1"/>
    <col min="5642" max="5642" width="16.5703125" style="72" bestFit="1" customWidth="1"/>
    <col min="5643" max="5644" width="10.28515625" style="72" customWidth="1"/>
    <col min="5645" max="5645" width="18" style="72" bestFit="1" customWidth="1"/>
    <col min="5646" max="5830" width="9.140625" style="72"/>
    <col min="5831" max="5838" width="9.140625" style="72" customWidth="1"/>
    <col min="5839" max="5839" width="10.140625" style="72" customWidth="1"/>
    <col min="5840" max="5840" width="1" style="72" customWidth="1"/>
    <col min="5841" max="5843" width="3.28515625" style="72" customWidth="1"/>
    <col min="5844" max="5844" width="1.85546875" style="72" customWidth="1"/>
    <col min="5845" max="5845" width="17.85546875" style="72" customWidth="1"/>
    <col min="5846" max="5846" width="1.85546875" style="72" customWidth="1"/>
    <col min="5847" max="5849" width="3.28515625" style="72" customWidth="1"/>
    <col min="5850" max="5850" width="2.85546875" style="72" customWidth="1"/>
    <col min="5851" max="5851" width="1.85546875" style="72" customWidth="1"/>
    <col min="5852" max="5852" width="19.7109375" style="72" customWidth="1"/>
    <col min="5853" max="5853" width="1.85546875" style="72" customWidth="1"/>
    <col min="5854" max="5856" width="3" style="72" customWidth="1"/>
    <col min="5857" max="5857" width="4.42578125" style="72" customWidth="1"/>
    <col min="5858" max="5859" width="3" style="72" customWidth="1"/>
    <col min="5860" max="5865" width="3.28515625" style="72" customWidth="1"/>
    <col min="5866" max="5867" width="9.140625" style="72" customWidth="1"/>
    <col min="5868" max="5871" width="3.28515625" style="72" customWidth="1"/>
    <col min="5872" max="5872" width="4.140625" style="72" customWidth="1"/>
    <col min="5873" max="5873" width="1.7109375" style="72" customWidth="1"/>
    <col min="5874" max="5878" width="3.28515625" style="72" customWidth="1"/>
    <col min="5879" max="5879" width="1.7109375" style="72" customWidth="1"/>
    <col min="5880" max="5884" width="3.28515625" style="72" customWidth="1"/>
    <col min="5885" max="5890" width="9.140625" style="72" customWidth="1"/>
    <col min="5891" max="5891" width="1.7109375" style="72" customWidth="1"/>
    <col min="5892" max="5896" width="3.28515625" style="72" customWidth="1"/>
    <col min="5897" max="5897" width="1.7109375" style="72" customWidth="1"/>
    <col min="5898" max="5898" width="16.5703125" style="72" bestFit="1" customWidth="1"/>
    <col min="5899" max="5900" width="10.28515625" style="72" customWidth="1"/>
    <col min="5901" max="5901" width="18" style="72" bestFit="1" customWidth="1"/>
    <col min="5902" max="6086" width="9.140625" style="72"/>
    <col min="6087" max="6094" width="9.140625" style="72" customWidth="1"/>
    <col min="6095" max="6095" width="10.140625" style="72" customWidth="1"/>
    <col min="6096" max="6096" width="1" style="72" customWidth="1"/>
    <col min="6097" max="6099" width="3.28515625" style="72" customWidth="1"/>
    <col min="6100" max="6100" width="1.85546875" style="72" customWidth="1"/>
    <col min="6101" max="6101" width="17.85546875" style="72" customWidth="1"/>
    <col min="6102" max="6102" width="1.85546875" style="72" customWidth="1"/>
    <col min="6103" max="6105" width="3.28515625" style="72" customWidth="1"/>
    <col min="6106" max="6106" width="2.85546875" style="72" customWidth="1"/>
    <col min="6107" max="6107" width="1.85546875" style="72" customWidth="1"/>
    <col min="6108" max="6108" width="19.7109375" style="72" customWidth="1"/>
    <col min="6109" max="6109" width="1.85546875" style="72" customWidth="1"/>
    <col min="6110" max="6112" width="3" style="72" customWidth="1"/>
    <col min="6113" max="6113" width="4.42578125" style="72" customWidth="1"/>
    <col min="6114" max="6115" width="3" style="72" customWidth="1"/>
    <col min="6116" max="6121" width="3.28515625" style="72" customWidth="1"/>
    <col min="6122" max="6123" width="9.140625" style="72" customWidth="1"/>
    <col min="6124" max="6127" width="3.28515625" style="72" customWidth="1"/>
    <col min="6128" max="6128" width="4.140625" style="72" customWidth="1"/>
    <col min="6129" max="6129" width="1.7109375" style="72" customWidth="1"/>
    <col min="6130" max="6134" width="3.28515625" style="72" customWidth="1"/>
    <col min="6135" max="6135" width="1.7109375" style="72" customWidth="1"/>
    <col min="6136" max="6140" width="3.28515625" style="72" customWidth="1"/>
    <col min="6141" max="6146" width="9.140625" style="72" customWidth="1"/>
    <col min="6147" max="6147" width="1.7109375" style="72" customWidth="1"/>
    <col min="6148" max="6152" width="3.28515625" style="72" customWidth="1"/>
    <col min="6153" max="6153" width="1.7109375" style="72" customWidth="1"/>
    <col min="6154" max="6154" width="16.5703125" style="72" bestFit="1" customWidth="1"/>
    <col min="6155" max="6156" width="10.28515625" style="72" customWidth="1"/>
    <col min="6157" max="6157" width="18" style="72" bestFit="1" customWidth="1"/>
    <col min="6158" max="6342" width="9.140625" style="72"/>
    <col min="6343" max="6350" width="9.140625" style="72" customWidth="1"/>
    <col min="6351" max="6351" width="10.140625" style="72" customWidth="1"/>
    <col min="6352" max="6352" width="1" style="72" customWidth="1"/>
    <col min="6353" max="6355" width="3.28515625" style="72" customWidth="1"/>
    <col min="6356" max="6356" width="1.85546875" style="72" customWidth="1"/>
    <col min="6357" max="6357" width="17.85546875" style="72" customWidth="1"/>
    <col min="6358" max="6358" width="1.85546875" style="72" customWidth="1"/>
    <col min="6359" max="6361" width="3.28515625" style="72" customWidth="1"/>
    <col min="6362" max="6362" width="2.85546875" style="72" customWidth="1"/>
    <col min="6363" max="6363" width="1.85546875" style="72" customWidth="1"/>
    <col min="6364" max="6364" width="19.7109375" style="72" customWidth="1"/>
    <col min="6365" max="6365" width="1.85546875" style="72" customWidth="1"/>
    <col min="6366" max="6368" width="3" style="72" customWidth="1"/>
    <col min="6369" max="6369" width="4.42578125" style="72" customWidth="1"/>
    <col min="6370" max="6371" width="3" style="72" customWidth="1"/>
    <col min="6372" max="6377" width="3.28515625" style="72" customWidth="1"/>
    <col min="6378" max="6379" width="9.140625" style="72" customWidth="1"/>
    <col min="6380" max="6383" width="3.28515625" style="72" customWidth="1"/>
    <col min="6384" max="6384" width="4.140625" style="72" customWidth="1"/>
    <col min="6385" max="6385" width="1.7109375" style="72" customWidth="1"/>
    <col min="6386" max="6390" width="3.28515625" style="72" customWidth="1"/>
    <col min="6391" max="6391" width="1.7109375" style="72" customWidth="1"/>
    <col min="6392" max="6396" width="3.28515625" style="72" customWidth="1"/>
    <col min="6397" max="6402" width="9.140625" style="72" customWidth="1"/>
    <col min="6403" max="6403" width="1.7109375" style="72" customWidth="1"/>
    <col min="6404" max="6408" width="3.28515625" style="72" customWidth="1"/>
    <col min="6409" max="6409" width="1.7109375" style="72" customWidth="1"/>
    <col min="6410" max="6410" width="16.5703125" style="72" bestFit="1" customWidth="1"/>
    <col min="6411" max="6412" width="10.28515625" style="72" customWidth="1"/>
    <col min="6413" max="6413" width="18" style="72" bestFit="1" customWidth="1"/>
    <col min="6414" max="6598" width="9.140625" style="72"/>
    <col min="6599" max="6606" width="9.140625" style="72" customWidth="1"/>
    <col min="6607" max="6607" width="10.140625" style="72" customWidth="1"/>
    <col min="6608" max="6608" width="1" style="72" customWidth="1"/>
    <col min="6609" max="6611" width="3.28515625" style="72" customWidth="1"/>
    <col min="6612" max="6612" width="1.85546875" style="72" customWidth="1"/>
    <col min="6613" max="6613" width="17.85546875" style="72" customWidth="1"/>
    <col min="6614" max="6614" width="1.85546875" style="72" customWidth="1"/>
    <col min="6615" max="6617" width="3.28515625" style="72" customWidth="1"/>
    <col min="6618" max="6618" width="2.85546875" style="72" customWidth="1"/>
    <col min="6619" max="6619" width="1.85546875" style="72" customWidth="1"/>
    <col min="6620" max="6620" width="19.7109375" style="72" customWidth="1"/>
    <col min="6621" max="6621" width="1.85546875" style="72" customWidth="1"/>
    <col min="6622" max="6624" width="3" style="72" customWidth="1"/>
    <col min="6625" max="6625" width="4.42578125" style="72" customWidth="1"/>
    <col min="6626" max="6627" width="3" style="72" customWidth="1"/>
    <col min="6628" max="6633" width="3.28515625" style="72" customWidth="1"/>
    <col min="6634" max="6635" width="9.140625" style="72" customWidth="1"/>
    <col min="6636" max="6639" width="3.28515625" style="72" customWidth="1"/>
    <col min="6640" max="6640" width="4.140625" style="72" customWidth="1"/>
    <col min="6641" max="6641" width="1.7109375" style="72" customWidth="1"/>
    <col min="6642" max="6646" width="3.28515625" style="72" customWidth="1"/>
    <col min="6647" max="6647" width="1.7109375" style="72" customWidth="1"/>
    <col min="6648" max="6652" width="3.28515625" style="72" customWidth="1"/>
    <col min="6653" max="6658" width="9.140625" style="72" customWidth="1"/>
    <col min="6659" max="6659" width="1.7109375" style="72" customWidth="1"/>
    <col min="6660" max="6664" width="3.28515625" style="72" customWidth="1"/>
    <col min="6665" max="6665" width="1.7109375" style="72" customWidth="1"/>
    <col min="6666" max="6666" width="16.5703125" style="72" bestFit="1" customWidth="1"/>
    <col min="6667" max="6668" width="10.28515625" style="72" customWidth="1"/>
    <col min="6669" max="6669" width="18" style="72" bestFit="1" customWidth="1"/>
    <col min="6670" max="6854" width="9.140625" style="72"/>
    <col min="6855" max="6862" width="9.140625" style="72" customWidth="1"/>
    <col min="6863" max="6863" width="10.140625" style="72" customWidth="1"/>
    <col min="6864" max="6864" width="1" style="72" customWidth="1"/>
    <col min="6865" max="6867" width="3.28515625" style="72" customWidth="1"/>
    <col min="6868" max="6868" width="1.85546875" style="72" customWidth="1"/>
    <col min="6869" max="6869" width="17.85546875" style="72" customWidth="1"/>
    <col min="6870" max="6870" width="1.85546875" style="72" customWidth="1"/>
    <col min="6871" max="6873" width="3.28515625" style="72" customWidth="1"/>
    <col min="6874" max="6874" width="2.85546875" style="72" customWidth="1"/>
    <col min="6875" max="6875" width="1.85546875" style="72" customWidth="1"/>
    <col min="6876" max="6876" width="19.7109375" style="72" customWidth="1"/>
    <col min="6877" max="6877" width="1.85546875" style="72" customWidth="1"/>
    <col min="6878" max="6880" width="3" style="72" customWidth="1"/>
    <col min="6881" max="6881" width="4.42578125" style="72" customWidth="1"/>
    <col min="6882" max="6883" width="3" style="72" customWidth="1"/>
    <col min="6884" max="6889" width="3.28515625" style="72" customWidth="1"/>
    <col min="6890" max="6891" width="9.140625" style="72" customWidth="1"/>
    <col min="6892" max="6895" width="3.28515625" style="72" customWidth="1"/>
    <col min="6896" max="6896" width="4.140625" style="72" customWidth="1"/>
    <col min="6897" max="6897" width="1.7109375" style="72" customWidth="1"/>
    <col min="6898" max="6902" width="3.28515625" style="72" customWidth="1"/>
    <col min="6903" max="6903" width="1.7109375" style="72" customWidth="1"/>
    <col min="6904" max="6908" width="3.28515625" style="72" customWidth="1"/>
    <col min="6909" max="6914" width="9.140625" style="72" customWidth="1"/>
    <col min="6915" max="6915" width="1.7109375" style="72" customWidth="1"/>
    <col min="6916" max="6920" width="3.28515625" style="72" customWidth="1"/>
    <col min="6921" max="6921" width="1.7109375" style="72" customWidth="1"/>
    <col min="6922" max="6922" width="16.5703125" style="72" bestFit="1" customWidth="1"/>
    <col min="6923" max="6924" width="10.28515625" style="72" customWidth="1"/>
    <col min="6925" max="6925" width="18" style="72" bestFit="1" customWidth="1"/>
    <col min="6926" max="7110" width="9.140625" style="72"/>
    <col min="7111" max="7118" width="9.140625" style="72" customWidth="1"/>
    <col min="7119" max="7119" width="10.140625" style="72" customWidth="1"/>
    <col min="7120" max="7120" width="1" style="72" customWidth="1"/>
    <col min="7121" max="7123" width="3.28515625" style="72" customWidth="1"/>
    <col min="7124" max="7124" width="1.85546875" style="72" customWidth="1"/>
    <col min="7125" max="7125" width="17.85546875" style="72" customWidth="1"/>
    <col min="7126" max="7126" width="1.85546875" style="72" customWidth="1"/>
    <col min="7127" max="7129" width="3.28515625" style="72" customWidth="1"/>
    <col min="7130" max="7130" width="2.85546875" style="72" customWidth="1"/>
    <col min="7131" max="7131" width="1.85546875" style="72" customWidth="1"/>
    <col min="7132" max="7132" width="19.7109375" style="72" customWidth="1"/>
    <col min="7133" max="7133" width="1.85546875" style="72" customWidth="1"/>
    <col min="7134" max="7136" width="3" style="72" customWidth="1"/>
    <col min="7137" max="7137" width="4.42578125" style="72" customWidth="1"/>
    <col min="7138" max="7139" width="3" style="72" customWidth="1"/>
    <col min="7140" max="7145" width="3.28515625" style="72" customWidth="1"/>
    <col min="7146" max="7147" width="9.140625" style="72" customWidth="1"/>
    <col min="7148" max="7151" width="3.28515625" style="72" customWidth="1"/>
    <col min="7152" max="7152" width="4.140625" style="72" customWidth="1"/>
    <col min="7153" max="7153" width="1.7109375" style="72" customWidth="1"/>
    <col min="7154" max="7158" width="3.28515625" style="72" customWidth="1"/>
    <col min="7159" max="7159" width="1.7109375" style="72" customWidth="1"/>
    <col min="7160" max="7164" width="3.28515625" style="72" customWidth="1"/>
    <col min="7165" max="7170" width="9.140625" style="72" customWidth="1"/>
    <col min="7171" max="7171" width="1.7109375" style="72" customWidth="1"/>
    <col min="7172" max="7176" width="3.28515625" style="72" customWidth="1"/>
    <col min="7177" max="7177" width="1.7109375" style="72" customWidth="1"/>
    <col min="7178" max="7178" width="16.5703125" style="72" bestFit="1" customWidth="1"/>
    <col min="7179" max="7180" width="10.28515625" style="72" customWidth="1"/>
    <col min="7181" max="7181" width="18" style="72" bestFit="1" customWidth="1"/>
    <col min="7182" max="7366" width="9.140625" style="72"/>
    <col min="7367" max="7374" width="9.140625" style="72" customWidth="1"/>
    <col min="7375" max="7375" width="10.140625" style="72" customWidth="1"/>
    <col min="7376" max="7376" width="1" style="72" customWidth="1"/>
    <col min="7377" max="7379" width="3.28515625" style="72" customWidth="1"/>
    <col min="7380" max="7380" width="1.85546875" style="72" customWidth="1"/>
    <col min="7381" max="7381" width="17.85546875" style="72" customWidth="1"/>
    <col min="7382" max="7382" width="1.85546875" style="72" customWidth="1"/>
    <col min="7383" max="7385" width="3.28515625" style="72" customWidth="1"/>
    <col min="7386" max="7386" width="2.85546875" style="72" customWidth="1"/>
    <col min="7387" max="7387" width="1.85546875" style="72" customWidth="1"/>
    <col min="7388" max="7388" width="19.7109375" style="72" customWidth="1"/>
    <col min="7389" max="7389" width="1.85546875" style="72" customWidth="1"/>
    <col min="7390" max="7392" width="3" style="72" customWidth="1"/>
    <col min="7393" max="7393" width="4.42578125" style="72" customWidth="1"/>
    <col min="7394" max="7395" width="3" style="72" customWidth="1"/>
    <col min="7396" max="7401" width="3.28515625" style="72" customWidth="1"/>
    <col min="7402" max="7403" width="9.140625" style="72" customWidth="1"/>
    <col min="7404" max="7407" width="3.28515625" style="72" customWidth="1"/>
    <col min="7408" max="7408" width="4.140625" style="72" customWidth="1"/>
    <col min="7409" max="7409" width="1.7109375" style="72" customWidth="1"/>
    <col min="7410" max="7414" width="3.28515625" style="72" customWidth="1"/>
    <col min="7415" max="7415" width="1.7109375" style="72" customWidth="1"/>
    <col min="7416" max="7420" width="3.28515625" style="72" customWidth="1"/>
    <col min="7421" max="7426" width="9.140625" style="72" customWidth="1"/>
    <col min="7427" max="7427" width="1.7109375" style="72" customWidth="1"/>
    <col min="7428" max="7432" width="3.28515625" style="72" customWidth="1"/>
    <col min="7433" max="7433" width="1.7109375" style="72" customWidth="1"/>
    <col min="7434" max="7434" width="16.5703125" style="72" bestFit="1" customWidth="1"/>
    <col min="7435" max="7436" width="10.28515625" style="72" customWidth="1"/>
    <col min="7437" max="7437" width="18" style="72" bestFit="1" customWidth="1"/>
    <col min="7438" max="7622" width="9.140625" style="72"/>
    <col min="7623" max="7630" width="9.140625" style="72" customWidth="1"/>
    <col min="7631" max="7631" width="10.140625" style="72" customWidth="1"/>
    <col min="7632" max="7632" width="1" style="72" customWidth="1"/>
    <col min="7633" max="7635" width="3.28515625" style="72" customWidth="1"/>
    <col min="7636" max="7636" width="1.85546875" style="72" customWidth="1"/>
    <col min="7637" max="7637" width="17.85546875" style="72" customWidth="1"/>
    <col min="7638" max="7638" width="1.85546875" style="72" customWidth="1"/>
    <col min="7639" max="7641" width="3.28515625" style="72" customWidth="1"/>
    <col min="7642" max="7642" width="2.85546875" style="72" customWidth="1"/>
    <col min="7643" max="7643" width="1.85546875" style="72" customWidth="1"/>
    <col min="7644" max="7644" width="19.7109375" style="72" customWidth="1"/>
    <col min="7645" max="7645" width="1.85546875" style="72" customWidth="1"/>
    <col min="7646" max="7648" width="3" style="72" customWidth="1"/>
    <col min="7649" max="7649" width="4.42578125" style="72" customWidth="1"/>
    <col min="7650" max="7651" width="3" style="72" customWidth="1"/>
    <col min="7652" max="7657" width="3.28515625" style="72" customWidth="1"/>
    <col min="7658" max="7659" width="9.140625" style="72" customWidth="1"/>
    <col min="7660" max="7663" width="3.28515625" style="72" customWidth="1"/>
    <col min="7664" max="7664" width="4.140625" style="72" customWidth="1"/>
    <col min="7665" max="7665" width="1.7109375" style="72" customWidth="1"/>
    <col min="7666" max="7670" width="3.28515625" style="72" customWidth="1"/>
    <col min="7671" max="7671" width="1.7109375" style="72" customWidth="1"/>
    <col min="7672" max="7676" width="3.28515625" style="72" customWidth="1"/>
    <col min="7677" max="7682" width="9.140625" style="72" customWidth="1"/>
    <col min="7683" max="7683" width="1.7109375" style="72" customWidth="1"/>
    <col min="7684" max="7688" width="3.28515625" style="72" customWidth="1"/>
    <col min="7689" max="7689" width="1.7109375" style="72" customWidth="1"/>
    <col min="7690" max="7690" width="16.5703125" style="72" bestFit="1" customWidth="1"/>
    <col min="7691" max="7692" width="10.28515625" style="72" customWidth="1"/>
    <col min="7693" max="7693" width="18" style="72" bestFit="1" customWidth="1"/>
    <col min="7694" max="7878" width="9.140625" style="72"/>
    <col min="7879" max="7886" width="9.140625" style="72" customWidth="1"/>
    <col min="7887" max="7887" width="10.140625" style="72" customWidth="1"/>
    <col min="7888" max="7888" width="1" style="72" customWidth="1"/>
    <col min="7889" max="7891" width="3.28515625" style="72" customWidth="1"/>
    <col min="7892" max="7892" width="1.85546875" style="72" customWidth="1"/>
    <col min="7893" max="7893" width="17.85546875" style="72" customWidth="1"/>
    <col min="7894" max="7894" width="1.85546875" style="72" customWidth="1"/>
    <col min="7895" max="7897" width="3.28515625" style="72" customWidth="1"/>
    <col min="7898" max="7898" width="2.85546875" style="72" customWidth="1"/>
    <col min="7899" max="7899" width="1.85546875" style="72" customWidth="1"/>
    <col min="7900" max="7900" width="19.7109375" style="72" customWidth="1"/>
    <col min="7901" max="7901" width="1.85546875" style="72" customWidth="1"/>
    <col min="7902" max="7904" width="3" style="72" customWidth="1"/>
    <col min="7905" max="7905" width="4.42578125" style="72" customWidth="1"/>
    <col min="7906" max="7907" width="3" style="72" customWidth="1"/>
    <col min="7908" max="7913" width="3.28515625" style="72" customWidth="1"/>
    <col min="7914" max="7915" width="9.140625" style="72" customWidth="1"/>
    <col min="7916" max="7919" width="3.28515625" style="72" customWidth="1"/>
    <col min="7920" max="7920" width="4.140625" style="72" customWidth="1"/>
    <col min="7921" max="7921" width="1.7109375" style="72" customWidth="1"/>
    <col min="7922" max="7926" width="3.28515625" style="72" customWidth="1"/>
    <col min="7927" max="7927" width="1.7109375" style="72" customWidth="1"/>
    <col min="7928" max="7932" width="3.28515625" style="72" customWidth="1"/>
    <col min="7933" max="7938" width="9.140625" style="72" customWidth="1"/>
    <col min="7939" max="7939" width="1.7109375" style="72" customWidth="1"/>
    <col min="7940" max="7944" width="3.28515625" style="72" customWidth="1"/>
    <col min="7945" max="7945" width="1.7109375" style="72" customWidth="1"/>
    <col min="7946" max="7946" width="16.5703125" style="72" bestFit="1" customWidth="1"/>
    <col min="7947" max="7948" width="10.28515625" style="72" customWidth="1"/>
    <col min="7949" max="7949" width="18" style="72" bestFit="1" customWidth="1"/>
    <col min="7950" max="8134" width="9.140625" style="72"/>
    <col min="8135" max="8142" width="9.140625" style="72" customWidth="1"/>
    <col min="8143" max="8143" width="10.140625" style="72" customWidth="1"/>
    <col min="8144" max="8144" width="1" style="72" customWidth="1"/>
    <col min="8145" max="8147" width="3.28515625" style="72" customWidth="1"/>
    <col min="8148" max="8148" width="1.85546875" style="72" customWidth="1"/>
    <col min="8149" max="8149" width="17.85546875" style="72" customWidth="1"/>
    <col min="8150" max="8150" width="1.85546875" style="72" customWidth="1"/>
    <col min="8151" max="8153" width="3.28515625" style="72" customWidth="1"/>
    <col min="8154" max="8154" width="2.85546875" style="72" customWidth="1"/>
    <col min="8155" max="8155" width="1.85546875" style="72" customWidth="1"/>
    <col min="8156" max="8156" width="19.7109375" style="72" customWidth="1"/>
    <col min="8157" max="8157" width="1.85546875" style="72" customWidth="1"/>
    <col min="8158" max="8160" width="3" style="72" customWidth="1"/>
    <col min="8161" max="8161" width="4.42578125" style="72" customWidth="1"/>
    <col min="8162" max="8163" width="3" style="72" customWidth="1"/>
    <col min="8164" max="8169" width="3.28515625" style="72" customWidth="1"/>
    <col min="8170" max="8171" width="9.140625" style="72" customWidth="1"/>
    <col min="8172" max="8175" width="3.28515625" style="72" customWidth="1"/>
    <col min="8176" max="8176" width="4.140625" style="72" customWidth="1"/>
    <col min="8177" max="8177" width="1.7109375" style="72" customWidth="1"/>
    <col min="8178" max="8182" width="3.28515625" style="72" customWidth="1"/>
    <col min="8183" max="8183" width="1.7109375" style="72" customWidth="1"/>
    <col min="8184" max="8188" width="3.28515625" style="72" customWidth="1"/>
    <col min="8189" max="8194" width="9.140625" style="72" customWidth="1"/>
    <col min="8195" max="8195" width="1.7109375" style="72" customWidth="1"/>
    <col min="8196" max="8200" width="3.28515625" style="72" customWidth="1"/>
    <col min="8201" max="8201" width="1.7109375" style="72" customWidth="1"/>
    <col min="8202" max="8202" width="16.5703125" style="72" bestFit="1" customWidth="1"/>
    <col min="8203" max="8204" width="10.28515625" style="72" customWidth="1"/>
    <col min="8205" max="8205" width="18" style="72" bestFit="1" customWidth="1"/>
    <col min="8206" max="8390" width="9.140625" style="72"/>
    <col min="8391" max="8398" width="9.140625" style="72" customWidth="1"/>
    <col min="8399" max="8399" width="10.140625" style="72" customWidth="1"/>
    <col min="8400" max="8400" width="1" style="72" customWidth="1"/>
    <col min="8401" max="8403" width="3.28515625" style="72" customWidth="1"/>
    <col min="8404" max="8404" width="1.85546875" style="72" customWidth="1"/>
    <col min="8405" max="8405" width="17.85546875" style="72" customWidth="1"/>
    <col min="8406" max="8406" width="1.85546875" style="72" customWidth="1"/>
    <col min="8407" max="8409" width="3.28515625" style="72" customWidth="1"/>
    <col min="8410" max="8410" width="2.85546875" style="72" customWidth="1"/>
    <col min="8411" max="8411" width="1.85546875" style="72" customWidth="1"/>
    <col min="8412" max="8412" width="19.7109375" style="72" customWidth="1"/>
    <col min="8413" max="8413" width="1.85546875" style="72" customWidth="1"/>
    <col min="8414" max="8416" width="3" style="72" customWidth="1"/>
    <col min="8417" max="8417" width="4.42578125" style="72" customWidth="1"/>
    <col min="8418" max="8419" width="3" style="72" customWidth="1"/>
    <col min="8420" max="8425" width="3.28515625" style="72" customWidth="1"/>
    <col min="8426" max="8427" width="9.140625" style="72" customWidth="1"/>
    <col min="8428" max="8431" width="3.28515625" style="72" customWidth="1"/>
    <col min="8432" max="8432" width="4.140625" style="72" customWidth="1"/>
    <col min="8433" max="8433" width="1.7109375" style="72" customWidth="1"/>
    <col min="8434" max="8438" width="3.28515625" style="72" customWidth="1"/>
    <col min="8439" max="8439" width="1.7109375" style="72" customWidth="1"/>
    <col min="8440" max="8444" width="3.28515625" style="72" customWidth="1"/>
    <col min="8445" max="8450" width="9.140625" style="72" customWidth="1"/>
    <col min="8451" max="8451" width="1.7109375" style="72" customWidth="1"/>
    <col min="8452" max="8456" width="3.28515625" style="72" customWidth="1"/>
    <col min="8457" max="8457" width="1.7109375" style="72" customWidth="1"/>
    <col min="8458" max="8458" width="16.5703125" style="72" bestFit="1" customWidth="1"/>
    <col min="8459" max="8460" width="10.28515625" style="72" customWidth="1"/>
    <col min="8461" max="8461" width="18" style="72" bestFit="1" customWidth="1"/>
    <col min="8462" max="8646" width="9.140625" style="72"/>
    <col min="8647" max="8654" width="9.140625" style="72" customWidth="1"/>
    <col min="8655" max="8655" width="10.140625" style="72" customWidth="1"/>
    <col min="8656" max="8656" width="1" style="72" customWidth="1"/>
    <col min="8657" max="8659" width="3.28515625" style="72" customWidth="1"/>
    <col min="8660" max="8660" width="1.85546875" style="72" customWidth="1"/>
    <col min="8661" max="8661" width="17.85546875" style="72" customWidth="1"/>
    <col min="8662" max="8662" width="1.85546875" style="72" customWidth="1"/>
    <col min="8663" max="8665" width="3.28515625" style="72" customWidth="1"/>
    <col min="8666" max="8666" width="2.85546875" style="72" customWidth="1"/>
    <col min="8667" max="8667" width="1.85546875" style="72" customWidth="1"/>
    <col min="8668" max="8668" width="19.7109375" style="72" customWidth="1"/>
    <col min="8669" max="8669" width="1.85546875" style="72" customWidth="1"/>
    <col min="8670" max="8672" width="3" style="72" customWidth="1"/>
    <col min="8673" max="8673" width="4.42578125" style="72" customWidth="1"/>
    <col min="8674" max="8675" width="3" style="72" customWidth="1"/>
    <col min="8676" max="8681" width="3.28515625" style="72" customWidth="1"/>
    <col min="8682" max="8683" width="9.140625" style="72" customWidth="1"/>
    <col min="8684" max="8687" width="3.28515625" style="72" customWidth="1"/>
    <col min="8688" max="8688" width="4.140625" style="72" customWidth="1"/>
    <col min="8689" max="8689" width="1.7109375" style="72" customWidth="1"/>
    <col min="8690" max="8694" width="3.28515625" style="72" customWidth="1"/>
    <col min="8695" max="8695" width="1.7109375" style="72" customWidth="1"/>
    <col min="8696" max="8700" width="3.28515625" style="72" customWidth="1"/>
    <col min="8701" max="8706" width="9.140625" style="72" customWidth="1"/>
    <col min="8707" max="8707" width="1.7109375" style="72" customWidth="1"/>
    <col min="8708" max="8712" width="3.28515625" style="72" customWidth="1"/>
    <col min="8713" max="8713" width="1.7109375" style="72" customWidth="1"/>
    <col min="8714" max="8714" width="16.5703125" style="72" bestFit="1" customWidth="1"/>
    <col min="8715" max="8716" width="10.28515625" style="72" customWidth="1"/>
    <col min="8717" max="8717" width="18" style="72" bestFit="1" customWidth="1"/>
    <col min="8718" max="8902" width="9.140625" style="72"/>
    <col min="8903" max="8910" width="9.140625" style="72" customWidth="1"/>
    <col min="8911" max="8911" width="10.140625" style="72" customWidth="1"/>
    <col min="8912" max="8912" width="1" style="72" customWidth="1"/>
    <col min="8913" max="8915" width="3.28515625" style="72" customWidth="1"/>
    <col min="8916" max="8916" width="1.85546875" style="72" customWidth="1"/>
    <col min="8917" max="8917" width="17.85546875" style="72" customWidth="1"/>
    <col min="8918" max="8918" width="1.85546875" style="72" customWidth="1"/>
    <col min="8919" max="8921" width="3.28515625" style="72" customWidth="1"/>
    <col min="8922" max="8922" width="2.85546875" style="72" customWidth="1"/>
    <col min="8923" max="8923" width="1.85546875" style="72" customWidth="1"/>
    <col min="8924" max="8924" width="19.7109375" style="72" customWidth="1"/>
    <col min="8925" max="8925" width="1.85546875" style="72" customWidth="1"/>
    <col min="8926" max="8928" width="3" style="72" customWidth="1"/>
    <col min="8929" max="8929" width="4.42578125" style="72" customWidth="1"/>
    <col min="8930" max="8931" width="3" style="72" customWidth="1"/>
    <col min="8932" max="8937" width="3.28515625" style="72" customWidth="1"/>
    <col min="8938" max="8939" width="9.140625" style="72" customWidth="1"/>
    <col min="8940" max="8943" width="3.28515625" style="72" customWidth="1"/>
    <col min="8944" max="8944" width="4.140625" style="72" customWidth="1"/>
    <col min="8945" max="8945" width="1.7109375" style="72" customWidth="1"/>
    <col min="8946" max="8950" width="3.28515625" style="72" customWidth="1"/>
    <col min="8951" max="8951" width="1.7109375" style="72" customWidth="1"/>
    <col min="8952" max="8956" width="3.28515625" style="72" customWidth="1"/>
    <col min="8957" max="8962" width="9.140625" style="72" customWidth="1"/>
    <col min="8963" max="8963" width="1.7109375" style="72" customWidth="1"/>
    <col min="8964" max="8968" width="3.28515625" style="72" customWidth="1"/>
    <col min="8969" max="8969" width="1.7109375" style="72" customWidth="1"/>
    <col min="8970" max="8970" width="16.5703125" style="72" bestFit="1" customWidth="1"/>
    <col min="8971" max="8972" width="10.28515625" style="72" customWidth="1"/>
    <col min="8973" max="8973" width="18" style="72" bestFit="1" customWidth="1"/>
    <col min="8974" max="9158" width="9.140625" style="72"/>
    <col min="9159" max="9166" width="9.140625" style="72" customWidth="1"/>
    <col min="9167" max="9167" width="10.140625" style="72" customWidth="1"/>
    <col min="9168" max="9168" width="1" style="72" customWidth="1"/>
    <col min="9169" max="9171" width="3.28515625" style="72" customWidth="1"/>
    <col min="9172" max="9172" width="1.85546875" style="72" customWidth="1"/>
    <col min="9173" max="9173" width="17.85546875" style="72" customWidth="1"/>
    <col min="9174" max="9174" width="1.85546875" style="72" customWidth="1"/>
    <col min="9175" max="9177" width="3.28515625" style="72" customWidth="1"/>
    <col min="9178" max="9178" width="2.85546875" style="72" customWidth="1"/>
    <col min="9179" max="9179" width="1.85546875" style="72" customWidth="1"/>
    <col min="9180" max="9180" width="19.7109375" style="72" customWidth="1"/>
    <col min="9181" max="9181" width="1.85546875" style="72" customWidth="1"/>
    <col min="9182" max="9184" width="3" style="72" customWidth="1"/>
    <col min="9185" max="9185" width="4.42578125" style="72" customWidth="1"/>
    <col min="9186" max="9187" width="3" style="72" customWidth="1"/>
    <col min="9188" max="9193" width="3.28515625" style="72" customWidth="1"/>
    <col min="9194" max="9195" width="9.140625" style="72" customWidth="1"/>
    <col min="9196" max="9199" width="3.28515625" style="72" customWidth="1"/>
    <col min="9200" max="9200" width="4.140625" style="72" customWidth="1"/>
    <col min="9201" max="9201" width="1.7109375" style="72" customWidth="1"/>
    <col min="9202" max="9206" width="3.28515625" style="72" customWidth="1"/>
    <col min="9207" max="9207" width="1.7109375" style="72" customWidth="1"/>
    <col min="9208" max="9212" width="3.28515625" style="72" customWidth="1"/>
    <col min="9213" max="9218" width="9.140625" style="72" customWidth="1"/>
    <col min="9219" max="9219" width="1.7109375" style="72" customWidth="1"/>
    <col min="9220" max="9224" width="3.28515625" style="72" customWidth="1"/>
    <col min="9225" max="9225" width="1.7109375" style="72" customWidth="1"/>
    <col min="9226" max="9226" width="16.5703125" style="72" bestFit="1" customWidth="1"/>
    <col min="9227" max="9228" width="10.28515625" style="72" customWidth="1"/>
    <col min="9229" max="9229" width="18" style="72" bestFit="1" customWidth="1"/>
    <col min="9230" max="9414" width="9.140625" style="72"/>
    <col min="9415" max="9422" width="9.140625" style="72" customWidth="1"/>
    <col min="9423" max="9423" width="10.140625" style="72" customWidth="1"/>
    <col min="9424" max="9424" width="1" style="72" customWidth="1"/>
    <col min="9425" max="9427" width="3.28515625" style="72" customWidth="1"/>
    <col min="9428" max="9428" width="1.85546875" style="72" customWidth="1"/>
    <col min="9429" max="9429" width="17.85546875" style="72" customWidth="1"/>
    <col min="9430" max="9430" width="1.85546875" style="72" customWidth="1"/>
    <col min="9431" max="9433" width="3.28515625" style="72" customWidth="1"/>
    <col min="9434" max="9434" width="2.85546875" style="72" customWidth="1"/>
    <col min="9435" max="9435" width="1.85546875" style="72" customWidth="1"/>
    <col min="9436" max="9436" width="19.7109375" style="72" customWidth="1"/>
    <col min="9437" max="9437" width="1.85546875" style="72" customWidth="1"/>
    <col min="9438" max="9440" width="3" style="72" customWidth="1"/>
    <col min="9441" max="9441" width="4.42578125" style="72" customWidth="1"/>
    <col min="9442" max="9443" width="3" style="72" customWidth="1"/>
    <col min="9444" max="9449" width="3.28515625" style="72" customWidth="1"/>
    <col min="9450" max="9451" width="9.140625" style="72" customWidth="1"/>
    <col min="9452" max="9455" width="3.28515625" style="72" customWidth="1"/>
    <col min="9456" max="9456" width="4.140625" style="72" customWidth="1"/>
    <col min="9457" max="9457" width="1.7109375" style="72" customWidth="1"/>
    <col min="9458" max="9462" width="3.28515625" style="72" customWidth="1"/>
    <col min="9463" max="9463" width="1.7109375" style="72" customWidth="1"/>
    <col min="9464" max="9468" width="3.28515625" style="72" customWidth="1"/>
    <col min="9469" max="9474" width="9.140625" style="72" customWidth="1"/>
    <col min="9475" max="9475" width="1.7109375" style="72" customWidth="1"/>
    <col min="9476" max="9480" width="3.28515625" style="72" customWidth="1"/>
    <col min="9481" max="9481" width="1.7109375" style="72" customWidth="1"/>
    <col min="9482" max="9482" width="16.5703125" style="72" bestFit="1" customWidth="1"/>
    <col min="9483" max="9484" width="10.28515625" style="72" customWidth="1"/>
    <col min="9485" max="9485" width="18" style="72" bestFit="1" customWidth="1"/>
    <col min="9486" max="9670" width="9.140625" style="72"/>
    <col min="9671" max="9678" width="9.140625" style="72" customWidth="1"/>
    <col min="9679" max="9679" width="10.140625" style="72" customWidth="1"/>
    <col min="9680" max="9680" width="1" style="72" customWidth="1"/>
    <col min="9681" max="9683" width="3.28515625" style="72" customWidth="1"/>
    <col min="9684" max="9684" width="1.85546875" style="72" customWidth="1"/>
    <col min="9685" max="9685" width="17.85546875" style="72" customWidth="1"/>
    <col min="9686" max="9686" width="1.85546875" style="72" customWidth="1"/>
    <col min="9687" max="9689" width="3.28515625" style="72" customWidth="1"/>
    <col min="9690" max="9690" width="2.85546875" style="72" customWidth="1"/>
    <col min="9691" max="9691" width="1.85546875" style="72" customWidth="1"/>
    <col min="9692" max="9692" width="19.7109375" style="72" customWidth="1"/>
    <col min="9693" max="9693" width="1.85546875" style="72" customWidth="1"/>
    <col min="9694" max="9696" width="3" style="72" customWidth="1"/>
    <col min="9697" max="9697" width="4.42578125" style="72" customWidth="1"/>
    <col min="9698" max="9699" width="3" style="72" customWidth="1"/>
    <col min="9700" max="9705" width="3.28515625" style="72" customWidth="1"/>
    <col min="9706" max="9707" width="9.140625" style="72" customWidth="1"/>
    <col min="9708" max="9711" width="3.28515625" style="72" customWidth="1"/>
    <col min="9712" max="9712" width="4.140625" style="72" customWidth="1"/>
    <col min="9713" max="9713" width="1.7109375" style="72" customWidth="1"/>
    <col min="9714" max="9718" width="3.28515625" style="72" customWidth="1"/>
    <col min="9719" max="9719" width="1.7109375" style="72" customWidth="1"/>
    <col min="9720" max="9724" width="3.28515625" style="72" customWidth="1"/>
    <col min="9725" max="9730" width="9.140625" style="72" customWidth="1"/>
    <col min="9731" max="9731" width="1.7109375" style="72" customWidth="1"/>
    <col min="9732" max="9736" width="3.28515625" style="72" customWidth="1"/>
    <col min="9737" max="9737" width="1.7109375" style="72" customWidth="1"/>
    <col min="9738" max="9738" width="16.5703125" style="72" bestFit="1" customWidth="1"/>
    <col min="9739" max="9740" width="10.28515625" style="72" customWidth="1"/>
    <col min="9741" max="9741" width="18" style="72" bestFit="1" customWidth="1"/>
    <col min="9742" max="9926" width="9.140625" style="72"/>
    <col min="9927" max="9934" width="9.140625" style="72" customWidth="1"/>
    <col min="9935" max="9935" width="10.140625" style="72" customWidth="1"/>
    <col min="9936" max="9936" width="1" style="72" customWidth="1"/>
    <col min="9937" max="9939" width="3.28515625" style="72" customWidth="1"/>
    <col min="9940" max="9940" width="1.85546875" style="72" customWidth="1"/>
    <col min="9941" max="9941" width="17.85546875" style="72" customWidth="1"/>
    <col min="9942" max="9942" width="1.85546875" style="72" customWidth="1"/>
    <col min="9943" max="9945" width="3.28515625" style="72" customWidth="1"/>
    <col min="9946" max="9946" width="2.85546875" style="72" customWidth="1"/>
    <col min="9947" max="9947" width="1.85546875" style="72" customWidth="1"/>
    <col min="9948" max="9948" width="19.7109375" style="72" customWidth="1"/>
    <col min="9949" max="9949" width="1.85546875" style="72" customWidth="1"/>
    <col min="9950" max="9952" width="3" style="72" customWidth="1"/>
    <col min="9953" max="9953" width="4.42578125" style="72" customWidth="1"/>
    <col min="9954" max="9955" width="3" style="72" customWidth="1"/>
    <col min="9956" max="9961" width="3.28515625" style="72" customWidth="1"/>
    <col min="9962" max="9963" width="9.140625" style="72" customWidth="1"/>
    <col min="9964" max="9967" width="3.28515625" style="72" customWidth="1"/>
    <col min="9968" max="9968" width="4.140625" style="72" customWidth="1"/>
    <col min="9969" max="9969" width="1.7109375" style="72" customWidth="1"/>
    <col min="9970" max="9974" width="3.28515625" style="72" customWidth="1"/>
    <col min="9975" max="9975" width="1.7109375" style="72" customWidth="1"/>
    <col min="9976" max="9980" width="3.28515625" style="72" customWidth="1"/>
    <col min="9981" max="9986" width="9.140625" style="72" customWidth="1"/>
    <col min="9987" max="9987" width="1.7109375" style="72" customWidth="1"/>
    <col min="9988" max="9992" width="3.28515625" style="72" customWidth="1"/>
    <col min="9993" max="9993" width="1.7109375" style="72" customWidth="1"/>
    <col min="9994" max="9994" width="16.5703125" style="72" bestFit="1" customWidth="1"/>
    <col min="9995" max="9996" width="10.28515625" style="72" customWidth="1"/>
    <col min="9997" max="9997" width="18" style="72" bestFit="1" customWidth="1"/>
    <col min="9998" max="10182" width="9.140625" style="72"/>
    <col min="10183" max="10190" width="9.140625" style="72" customWidth="1"/>
    <col min="10191" max="10191" width="10.140625" style="72" customWidth="1"/>
    <col min="10192" max="10192" width="1" style="72" customWidth="1"/>
    <col min="10193" max="10195" width="3.28515625" style="72" customWidth="1"/>
    <col min="10196" max="10196" width="1.85546875" style="72" customWidth="1"/>
    <col min="10197" max="10197" width="17.85546875" style="72" customWidth="1"/>
    <col min="10198" max="10198" width="1.85546875" style="72" customWidth="1"/>
    <col min="10199" max="10201" width="3.28515625" style="72" customWidth="1"/>
    <col min="10202" max="10202" width="2.85546875" style="72" customWidth="1"/>
    <col min="10203" max="10203" width="1.85546875" style="72" customWidth="1"/>
    <col min="10204" max="10204" width="19.7109375" style="72" customWidth="1"/>
    <col min="10205" max="10205" width="1.85546875" style="72" customWidth="1"/>
    <col min="10206" max="10208" width="3" style="72" customWidth="1"/>
    <col min="10209" max="10209" width="4.42578125" style="72" customWidth="1"/>
    <col min="10210" max="10211" width="3" style="72" customWidth="1"/>
    <col min="10212" max="10217" width="3.28515625" style="72" customWidth="1"/>
    <col min="10218" max="10219" width="9.140625" style="72" customWidth="1"/>
    <col min="10220" max="10223" width="3.28515625" style="72" customWidth="1"/>
    <col min="10224" max="10224" width="4.140625" style="72" customWidth="1"/>
    <col min="10225" max="10225" width="1.7109375" style="72" customWidth="1"/>
    <col min="10226" max="10230" width="3.28515625" style="72" customWidth="1"/>
    <col min="10231" max="10231" width="1.7109375" style="72" customWidth="1"/>
    <col min="10232" max="10236" width="3.28515625" style="72" customWidth="1"/>
    <col min="10237" max="10242" width="9.140625" style="72" customWidth="1"/>
    <col min="10243" max="10243" width="1.7109375" style="72" customWidth="1"/>
    <col min="10244" max="10248" width="3.28515625" style="72" customWidth="1"/>
    <col min="10249" max="10249" width="1.7109375" style="72" customWidth="1"/>
    <col min="10250" max="10250" width="16.5703125" style="72" bestFit="1" customWidth="1"/>
    <col min="10251" max="10252" width="10.28515625" style="72" customWidth="1"/>
    <col min="10253" max="10253" width="18" style="72" bestFit="1" customWidth="1"/>
    <col min="10254" max="10438" width="9.140625" style="72"/>
    <col min="10439" max="10446" width="9.140625" style="72" customWidth="1"/>
    <col min="10447" max="10447" width="10.140625" style="72" customWidth="1"/>
    <col min="10448" max="10448" width="1" style="72" customWidth="1"/>
    <col min="10449" max="10451" width="3.28515625" style="72" customWidth="1"/>
    <col min="10452" max="10452" width="1.85546875" style="72" customWidth="1"/>
    <col min="10453" max="10453" width="17.85546875" style="72" customWidth="1"/>
    <col min="10454" max="10454" width="1.85546875" style="72" customWidth="1"/>
    <col min="10455" max="10457" width="3.28515625" style="72" customWidth="1"/>
    <col min="10458" max="10458" width="2.85546875" style="72" customWidth="1"/>
    <col min="10459" max="10459" width="1.85546875" style="72" customWidth="1"/>
    <col min="10460" max="10460" width="19.7109375" style="72" customWidth="1"/>
    <col min="10461" max="10461" width="1.85546875" style="72" customWidth="1"/>
    <col min="10462" max="10464" width="3" style="72" customWidth="1"/>
    <col min="10465" max="10465" width="4.42578125" style="72" customWidth="1"/>
    <col min="10466" max="10467" width="3" style="72" customWidth="1"/>
    <col min="10468" max="10473" width="3.28515625" style="72" customWidth="1"/>
    <col min="10474" max="10475" width="9.140625" style="72" customWidth="1"/>
    <col min="10476" max="10479" width="3.28515625" style="72" customWidth="1"/>
    <col min="10480" max="10480" width="4.140625" style="72" customWidth="1"/>
    <col min="10481" max="10481" width="1.7109375" style="72" customWidth="1"/>
    <col min="10482" max="10486" width="3.28515625" style="72" customWidth="1"/>
    <col min="10487" max="10487" width="1.7109375" style="72" customWidth="1"/>
    <col min="10488" max="10492" width="3.28515625" style="72" customWidth="1"/>
    <col min="10493" max="10498" width="9.140625" style="72" customWidth="1"/>
    <col min="10499" max="10499" width="1.7109375" style="72" customWidth="1"/>
    <col min="10500" max="10504" width="3.28515625" style="72" customWidth="1"/>
    <col min="10505" max="10505" width="1.7109375" style="72" customWidth="1"/>
    <col min="10506" max="10506" width="16.5703125" style="72" bestFit="1" customWidth="1"/>
    <col min="10507" max="10508" width="10.28515625" style="72" customWidth="1"/>
    <col min="10509" max="10509" width="18" style="72" bestFit="1" customWidth="1"/>
    <col min="10510" max="10694" width="9.140625" style="72"/>
    <col min="10695" max="10702" width="9.140625" style="72" customWidth="1"/>
    <col min="10703" max="10703" width="10.140625" style="72" customWidth="1"/>
    <col min="10704" max="10704" width="1" style="72" customWidth="1"/>
    <col min="10705" max="10707" width="3.28515625" style="72" customWidth="1"/>
    <col min="10708" max="10708" width="1.85546875" style="72" customWidth="1"/>
    <col min="10709" max="10709" width="17.85546875" style="72" customWidth="1"/>
    <col min="10710" max="10710" width="1.85546875" style="72" customWidth="1"/>
    <col min="10711" max="10713" width="3.28515625" style="72" customWidth="1"/>
    <col min="10714" max="10714" width="2.85546875" style="72" customWidth="1"/>
    <col min="10715" max="10715" width="1.85546875" style="72" customWidth="1"/>
    <col min="10716" max="10716" width="19.7109375" style="72" customWidth="1"/>
    <col min="10717" max="10717" width="1.85546875" style="72" customWidth="1"/>
    <col min="10718" max="10720" width="3" style="72" customWidth="1"/>
    <col min="10721" max="10721" width="4.42578125" style="72" customWidth="1"/>
    <col min="10722" max="10723" width="3" style="72" customWidth="1"/>
    <col min="10724" max="10729" width="3.28515625" style="72" customWidth="1"/>
    <col min="10730" max="10731" width="9.140625" style="72" customWidth="1"/>
    <col min="10732" max="10735" width="3.28515625" style="72" customWidth="1"/>
    <col min="10736" max="10736" width="4.140625" style="72" customWidth="1"/>
    <col min="10737" max="10737" width="1.7109375" style="72" customWidth="1"/>
    <col min="10738" max="10742" width="3.28515625" style="72" customWidth="1"/>
    <col min="10743" max="10743" width="1.7109375" style="72" customWidth="1"/>
    <col min="10744" max="10748" width="3.28515625" style="72" customWidth="1"/>
    <col min="10749" max="10754" width="9.140625" style="72" customWidth="1"/>
    <col min="10755" max="10755" width="1.7109375" style="72" customWidth="1"/>
    <col min="10756" max="10760" width="3.28515625" style="72" customWidth="1"/>
    <col min="10761" max="10761" width="1.7109375" style="72" customWidth="1"/>
    <col min="10762" max="10762" width="16.5703125" style="72" bestFit="1" customWidth="1"/>
    <col min="10763" max="10764" width="10.28515625" style="72" customWidth="1"/>
    <col min="10765" max="10765" width="18" style="72" bestFit="1" customWidth="1"/>
    <col min="10766" max="10950" width="9.140625" style="72"/>
    <col min="10951" max="10958" width="9.140625" style="72" customWidth="1"/>
    <col min="10959" max="10959" width="10.140625" style="72" customWidth="1"/>
    <col min="10960" max="10960" width="1" style="72" customWidth="1"/>
    <col min="10961" max="10963" width="3.28515625" style="72" customWidth="1"/>
    <col min="10964" max="10964" width="1.85546875" style="72" customWidth="1"/>
    <col min="10965" max="10965" width="17.85546875" style="72" customWidth="1"/>
    <col min="10966" max="10966" width="1.85546875" style="72" customWidth="1"/>
    <col min="10967" max="10969" width="3.28515625" style="72" customWidth="1"/>
    <col min="10970" max="10970" width="2.85546875" style="72" customWidth="1"/>
    <col min="10971" max="10971" width="1.85546875" style="72" customWidth="1"/>
    <col min="10972" max="10972" width="19.7109375" style="72" customWidth="1"/>
    <col min="10973" max="10973" width="1.85546875" style="72" customWidth="1"/>
    <col min="10974" max="10976" width="3" style="72" customWidth="1"/>
    <col min="10977" max="10977" width="4.42578125" style="72" customWidth="1"/>
    <col min="10978" max="10979" width="3" style="72" customWidth="1"/>
    <col min="10980" max="10985" width="3.28515625" style="72" customWidth="1"/>
    <col min="10986" max="10987" width="9.140625" style="72" customWidth="1"/>
    <col min="10988" max="10991" width="3.28515625" style="72" customWidth="1"/>
    <col min="10992" max="10992" width="4.140625" style="72" customWidth="1"/>
    <col min="10993" max="10993" width="1.7109375" style="72" customWidth="1"/>
    <col min="10994" max="10998" width="3.28515625" style="72" customWidth="1"/>
    <col min="10999" max="10999" width="1.7109375" style="72" customWidth="1"/>
    <col min="11000" max="11004" width="3.28515625" style="72" customWidth="1"/>
    <col min="11005" max="11010" width="9.140625" style="72" customWidth="1"/>
    <col min="11011" max="11011" width="1.7109375" style="72" customWidth="1"/>
    <col min="11012" max="11016" width="3.28515625" style="72" customWidth="1"/>
    <col min="11017" max="11017" width="1.7109375" style="72" customWidth="1"/>
    <col min="11018" max="11018" width="16.5703125" style="72" bestFit="1" customWidth="1"/>
    <col min="11019" max="11020" width="10.28515625" style="72" customWidth="1"/>
    <col min="11021" max="11021" width="18" style="72" bestFit="1" customWidth="1"/>
    <col min="11022" max="11206" width="9.140625" style="72"/>
    <col min="11207" max="11214" width="9.140625" style="72" customWidth="1"/>
    <col min="11215" max="11215" width="10.140625" style="72" customWidth="1"/>
    <col min="11216" max="11216" width="1" style="72" customWidth="1"/>
    <col min="11217" max="11219" width="3.28515625" style="72" customWidth="1"/>
    <col min="11220" max="11220" width="1.85546875" style="72" customWidth="1"/>
    <col min="11221" max="11221" width="17.85546875" style="72" customWidth="1"/>
    <col min="11222" max="11222" width="1.85546875" style="72" customWidth="1"/>
    <col min="11223" max="11225" width="3.28515625" style="72" customWidth="1"/>
    <col min="11226" max="11226" width="2.85546875" style="72" customWidth="1"/>
    <col min="11227" max="11227" width="1.85546875" style="72" customWidth="1"/>
    <col min="11228" max="11228" width="19.7109375" style="72" customWidth="1"/>
    <col min="11229" max="11229" width="1.85546875" style="72" customWidth="1"/>
    <col min="11230" max="11232" width="3" style="72" customWidth="1"/>
    <col min="11233" max="11233" width="4.42578125" style="72" customWidth="1"/>
    <col min="11234" max="11235" width="3" style="72" customWidth="1"/>
    <col min="11236" max="11241" width="3.28515625" style="72" customWidth="1"/>
    <col min="11242" max="11243" width="9.140625" style="72" customWidth="1"/>
    <col min="11244" max="11247" width="3.28515625" style="72" customWidth="1"/>
    <col min="11248" max="11248" width="4.140625" style="72" customWidth="1"/>
    <col min="11249" max="11249" width="1.7109375" style="72" customWidth="1"/>
    <col min="11250" max="11254" width="3.28515625" style="72" customWidth="1"/>
    <col min="11255" max="11255" width="1.7109375" style="72" customWidth="1"/>
    <col min="11256" max="11260" width="3.28515625" style="72" customWidth="1"/>
    <col min="11261" max="11266" width="9.140625" style="72" customWidth="1"/>
    <col min="11267" max="11267" width="1.7109375" style="72" customWidth="1"/>
    <col min="11268" max="11272" width="3.28515625" style="72" customWidth="1"/>
    <col min="11273" max="11273" width="1.7109375" style="72" customWidth="1"/>
    <col min="11274" max="11274" width="16.5703125" style="72" bestFit="1" customWidth="1"/>
    <col min="11275" max="11276" width="10.28515625" style="72" customWidth="1"/>
    <col min="11277" max="11277" width="18" style="72" bestFit="1" customWidth="1"/>
    <col min="11278" max="11462" width="9.140625" style="72"/>
    <col min="11463" max="11470" width="9.140625" style="72" customWidth="1"/>
    <col min="11471" max="11471" width="10.140625" style="72" customWidth="1"/>
    <col min="11472" max="11472" width="1" style="72" customWidth="1"/>
    <col min="11473" max="11475" width="3.28515625" style="72" customWidth="1"/>
    <col min="11476" max="11476" width="1.85546875" style="72" customWidth="1"/>
    <col min="11477" max="11477" width="17.85546875" style="72" customWidth="1"/>
    <col min="11478" max="11478" width="1.85546875" style="72" customWidth="1"/>
    <col min="11479" max="11481" width="3.28515625" style="72" customWidth="1"/>
    <col min="11482" max="11482" width="2.85546875" style="72" customWidth="1"/>
    <col min="11483" max="11483" width="1.85546875" style="72" customWidth="1"/>
    <col min="11484" max="11484" width="19.7109375" style="72" customWidth="1"/>
    <col min="11485" max="11485" width="1.85546875" style="72" customWidth="1"/>
    <col min="11486" max="11488" width="3" style="72" customWidth="1"/>
    <col min="11489" max="11489" width="4.42578125" style="72" customWidth="1"/>
    <col min="11490" max="11491" width="3" style="72" customWidth="1"/>
    <col min="11492" max="11497" width="3.28515625" style="72" customWidth="1"/>
    <col min="11498" max="11499" width="9.140625" style="72" customWidth="1"/>
    <col min="11500" max="11503" width="3.28515625" style="72" customWidth="1"/>
    <col min="11504" max="11504" width="4.140625" style="72" customWidth="1"/>
    <col min="11505" max="11505" width="1.7109375" style="72" customWidth="1"/>
    <col min="11506" max="11510" width="3.28515625" style="72" customWidth="1"/>
    <col min="11511" max="11511" width="1.7109375" style="72" customWidth="1"/>
    <col min="11512" max="11516" width="3.28515625" style="72" customWidth="1"/>
    <col min="11517" max="11522" width="9.140625" style="72" customWidth="1"/>
    <col min="11523" max="11523" width="1.7109375" style="72" customWidth="1"/>
    <col min="11524" max="11528" width="3.28515625" style="72" customWidth="1"/>
    <col min="11529" max="11529" width="1.7109375" style="72" customWidth="1"/>
    <col min="11530" max="11530" width="16.5703125" style="72" bestFit="1" customWidth="1"/>
    <col min="11531" max="11532" width="10.28515625" style="72" customWidth="1"/>
    <col min="11533" max="11533" width="18" style="72" bestFit="1" customWidth="1"/>
    <col min="11534" max="11718" width="9.140625" style="72"/>
    <col min="11719" max="11726" width="9.140625" style="72" customWidth="1"/>
    <col min="11727" max="11727" width="10.140625" style="72" customWidth="1"/>
    <col min="11728" max="11728" width="1" style="72" customWidth="1"/>
    <col min="11729" max="11731" width="3.28515625" style="72" customWidth="1"/>
    <col min="11732" max="11732" width="1.85546875" style="72" customWidth="1"/>
    <col min="11733" max="11733" width="17.85546875" style="72" customWidth="1"/>
    <col min="11734" max="11734" width="1.85546875" style="72" customWidth="1"/>
    <col min="11735" max="11737" width="3.28515625" style="72" customWidth="1"/>
    <col min="11738" max="11738" width="2.85546875" style="72" customWidth="1"/>
    <col min="11739" max="11739" width="1.85546875" style="72" customWidth="1"/>
    <col min="11740" max="11740" width="19.7109375" style="72" customWidth="1"/>
    <col min="11741" max="11741" width="1.85546875" style="72" customWidth="1"/>
    <col min="11742" max="11744" width="3" style="72" customWidth="1"/>
    <col min="11745" max="11745" width="4.42578125" style="72" customWidth="1"/>
    <col min="11746" max="11747" width="3" style="72" customWidth="1"/>
    <col min="11748" max="11753" width="3.28515625" style="72" customWidth="1"/>
    <col min="11754" max="11755" width="9.140625" style="72" customWidth="1"/>
    <col min="11756" max="11759" width="3.28515625" style="72" customWidth="1"/>
    <col min="11760" max="11760" width="4.140625" style="72" customWidth="1"/>
    <col min="11761" max="11761" width="1.7109375" style="72" customWidth="1"/>
    <col min="11762" max="11766" width="3.28515625" style="72" customWidth="1"/>
    <col min="11767" max="11767" width="1.7109375" style="72" customWidth="1"/>
    <col min="11768" max="11772" width="3.28515625" style="72" customWidth="1"/>
    <col min="11773" max="11778" width="9.140625" style="72" customWidth="1"/>
    <col min="11779" max="11779" width="1.7109375" style="72" customWidth="1"/>
    <col min="11780" max="11784" width="3.28515625" style="72" customWidth="1"/>
    <col min="11785" max="11785" width="1.7109375" style="72" customWidth="1"/>
    <col min="11786" max="11786" width="16.5703125" style="72" bestFit="1" customWidth="1"/>
    <col min="11787" max="11788" width="10.28515625" style="72" customWidth="1"/>
    <col min="11789" max="11789" width="18" style="72" bestFit="1" customWidth="1"/>
    <col min="11790" max="11974" width="9.140625" style="72"/>
    <col min="11975" max="11982" width="9.140625" style="72" customWidth="1"/>
    <col min="11983" max="11983" width="10.140625" style="72" customWidth="1"/>
    <col min="11984" max="11984" width="1" style="72" customWidth="1"/>
    <col min="11985" max="11987" width="3.28515625" style="72" customWidth="1"/>
    <col min="11988" max="11988" width="1.85546875" style="72" customWidth="1"/>
    <col min="11989" max="11989" width="17.85546875" style="72" customWidth="1"/>
    <col min="11990" max="11990" width="1.85546875" style="72" customWidth="1"/>
    <col min="11991" max="11993" width="3.28515625" style="72" customWidth="1"/>
    <col min="11994" max="11994" width="2.85546875" style="72" customWidth="1"/>
    <col min="11995" max="11995" width="1.85546875" style="72" customWidth="1"/>
    <col min="11996" max="11996" width="19.7109375" style="72" customWidth="1"/>
    <col min="11997" max="11997" width="1.85546875" style="72" customWidth="1"/>
    <col min="11998" max="12000" width="3" style="72" customWidth="1"/>
    <col min="12001" max="12001" width="4.42578125" style="72" customWidth="1"/>
    <col min="12002" max="12003" width="3" style="72" customWidth="1"/>
    <col min="12004" max="12009" width="3.28515625" style="72" customWidth="1"/>
    <col min="12010" max="12011" width="9.140625" style="72" customWidth="1"/>
    <col min="12012" max="12015" width="3.28515625" style="72" customWidth="1"/>
    <col min="12016" max="12016" width="4.140625" style="72" customWidth="1"/>
    <col min="12017" max="12017" width="1.7109375" style="72" customWidth="1"/>
    <col min="12018" max="12022" width="3.28515625" style="72" customWidth="1"/>
    <col min="12023" max="12023" width="1.7109375" style="72" customWidth="1"/>
    <col min="12024" max="12028" width="3.28515625" style="72" customWidth="1"/>
    <col min="12029" max="12034" width="9.140625" style="72" customWidth="1"/>
    <col min="12035" max="12035" width="1.7109375" style="72" customWidth="1"/>
    <col min="12036" max="12040" width="3.28515625" style="72" customWidth="1"/>
    <col min="12041" max="12041" width="1.7109375" style="72" customWidth="1"/>
    <col min="12042" max="12042" width="16.5703125" style="72" bestFit="1" customWidth="1"/>
    <col min="12043" max="12044" width="10.28515625" style="72" customWidth="1"/>
    <col min="12045" max="12045" width="18" style="72" bestFit="1" customWidth="1"/>
    <col min="12046" max="12230" width="9.140625" style="72"/>
    <col min="12231" max="12238" width="9.140625" style="72" customWidth="1"/>
    <col min="12239" max="12239" width="10.140625" style="72" customWidth="1"/>
    <col min="12240" max="12240" width="1" style="72" customWidth="1"/>
    <col min="12241" max="12243" width="3.28515625" style="72" customWidth="1"/>
    <col min="12244" max="12244" width="1.85546875" style="72" customWidth="1"/>
    <col min="12245" max="12245" width="17.85546875" style="72" customWidth="1"/>
    <col min="12246" max="12246" width="1.85546875" style="72" customWidth="1"/>
    <col min="12247" max="12249" width="3.28515625" style="72" customWidth="1"/>
    <col min="12250" max="12250" width="2.85546875" style="72" customWidth="1"/>
    <col min="12251" max="12251" width="1.85546875" style="72" customWidth="1"/>
    <col min="12252" max="12252" width="19.7109375" style="72" customWidth="1"/>
    <col min="12253" max="12253" width="1.85546875" style="72" customWidth="1"/>
    <col min="12254" max="12256" width="3" style="72" customWidth="1"/>
    <col min="12257" max="12257" width="4.42578125" style="72" customWidth="1"/>
    <col min="12258" max="12259" width="3" style="72" customWidth="1"/>
    <col min="12260" max="12265" width="3.28515625" style="72" customWidth="1"/>
    <col min="12266" max="12267" width="9.140625" style="72" customWidth="1"/>
    <col min="12268" max="12271" width="3.28515625" style="72" customWidth="1"/>
    <col min="12272" max="12272" width="4.140625" style="72" customWidth="1"/>
    <col min="12273" max="12273" width="1.7109375" style="72" customWidth="1"/>
    <col min="12274" max="12278" width="3.28515625" style="72" customWidth="1"/>
    <col min="12279" max="12279" width="1.7109375" style="72" customWidth="1"/>
    <col min="12280" max="12284" width="3.28515625" style="72" customWidth="1"/>
    <col min="12285" max="12290" width="9.140625" style="72" customWidth="1"/>
    <col min="12291" max="12291" width="1.7109375" style="72" customWidth="1"/>
    <col min="12292" max="12296" width="3.28515625" style="72" customWidth="1"/>
    <col min="12297" max="12297" width="1.7109375" style="72" customWidth="1"/>
    <col min="12298" max="12298" width="16.5703125" style="72" bestFit="1" customWidth="1"/>
    <col min="12299" max="12300" width="10.28515625" style="72" customWidth="1"/>
    <col min="12301" max="12301" width="18" style="72" bestFit="1" customWidth="1"/>
    <col min="12302" max="12486" width="9.140625" style="72"/>
    <col min="12487" max="12494" width="9.140625" style="72" customWidth="1"/>
    <col min="12495" max="12495" width="10.140625" style="72" customWidth="1"/>
    <col min="12496" max="12496" width="1" style="72" customWidth="1"/>
    <col min="12497" max="12499" width="3.28515625" style="72" customWidth="1"/>
    <col min="12500" max="12500" width="1.85546875" style="72" customWidth="1"/>
    <col min="12501" max="12501" width="17.85546875" style="72" customWidth="1"/>
    <col min="12502" max="12502" width="1.85546875" style="72" customWidth="1"/>
    <col min="12503" max="12505" width="3.28515625" style="72" customWidth="1"/>
    <col min="12506" max="12506" width="2.85546875" style="72" customWidth="1"/>
    <col min="12507" max="12507" width="1.85546875" style="72" customWidth="1"/>
    <col min="12508" max="12508" width="19.7109375" style="72" customWidth="1"/>
    <col min="12509" max="12509" width="1.85546875" style="72" customWidth="1"/>
    <col min="12510" max="12512" width="3" style="72" customWidth="1"/>
    <col min="12513" max="12513" width="4.42578125" style="72" customWidth="1"/>
    <col min="12514" max="12515" width="3" style="72" customWidth="1"/>
    <col min="12516" max="12521" width="3.28515625" style="72" customWidth="1"/>
    <col min="12522" max="12523" width="9.140625" style="72" customWidth="1"/>
    <col min="12524" max="12527" width="3.28515625" style="72" customWidth="1"/>
    <col min="12528" max="12528" width="4.140625" style="72" customWidth="1"/>
    <col min="12529" max="12529" width="1.7109375" style="72" customWidth="1"/>
    <col min="12530" max="12534" width="3.28515625" style="72" customWidth="1"/>
    <col min="12535" max="12535" width="1.7109375" style="72" customWidth="1"/>
    <col min="12536" max="12540" width="3.28515625" style="72" customWidth="1"/>
    <col min="12541" max="12546" width="9.140625" style="72" customWidth="1"/>
    <col min="12547" max="12547" width="1.7109375" style="72" customWidth="1"/>
    <col min="12548" max="12552" width="3.28515625" style="72" customWidth="1"/>
    <col min="12553" max="12553" width="1.7109375" style="72" customWidth="1"/>
    <col min="12554" max="12554" width="16.5703125" style="72" bestFit="1" customWidth="1"/>
    <col min="12555" max="12556" width="10.28515625" style="72" customWidth="1"/>
    <col min="12557" max="12557" width="18" style="72" bestFit="1" customWidth="1"/>
    <col min="12558" max="12742" width="9.140625" style="72"/>
    <col min="12743" max="12750" width="9.140625" style="72" customWidth="1"/>
    <col min="12751" max="12751" width="10.140625" style="72" customWidth="1"/>
    <col min="12752" max="12752" width="1" style="72" customWidth="1"/>
    <col min="12753" max="12755" width="3.28515625" style="72" customWidth="1"/>
    <col min="12756" max="12756" width="1.85546875" style="72" customWidth="1"/>
    <col min="12757" max="12757" width="17.85546875" style="72" customWidth="1"/>
    <col min="12758" max="12758" width="1.85546875" style="72" customWidth="1"/>
    <col min="12759" max="12761" width="3.28515625" style="72" customWidth="1"/>
    <col min="12762" max="12762" width="2.85546875" style="72" customWidth="1"/>
    <col min="12763" max="12763" width="1.85546875" style="72" customWidth="1"/>
    <col min="12764" max="12764" width="19.7109375" style="72" customWidth="1"/>
    <col min="12765" max="12765" width="1.85546875" style="72" customWidth="1"/>
    <col min="12766" max="12768" width="3" style="72" customWidth="1"/>
    <col min="12769" max="12769" width="4.42578125" style="72" customWidth="1"/>
    <col min="12770" max="12771" width="3" style="72" customWidth="1"/>
    <col min="12772" max="12777" width="3.28515625" style="72" customWidth="1"/>
    <col min="12778" max="12779" width="9.140625" style="72" customWidth="1"/>
    <col min="12780" max="12783" width="3.28515625" style="72" customWidth="1"/>
    <col min="12784" max="12784" width="4.140625" style="72" customWidth="1"/>
    <col min="12785" max="12785" width="1.7109375" style="72" customWidth="1"/>
    <col min="12786" max="12790" width="3.28515625" style="72" customWidth="1"/>
    <col min="12791" max="12791" width="1.7109375" style="72" customWidth="1"/>
    <col min="12792" max="12796" width="3.28515625" style="72" customWidth="1"/>
    <col min="12797" max="12802" width="9.140625" style="72" customWidth="1"/>
    <col min="12803" max="12803" width="1.7109375" style="72" customWidth="1"/>
    <col min="12804" max="12808" width="3.28515625" style="72" customWidth="1"/>
    <col min="12809" max="12809" width="1.7109375" style="72" customWidth="1"/>
    <col min="12810" max="12810" width="16.5703125" style="72" bestFit="1" customWidth="1"/>
    <col min="12811" max="12812" width="10.28515625" style="72" customWidth="1"/>
    <col min="12813" max="12813" width="18" style="72" bestFit="1" customWidth="1"/>
    <col min="12814" max="12998" width="9.140625" style="72"/>
    <col min="12999" max="13006" width="9.140625" style="72" customWidth="1"/>
    <col min="13007" max="13007" width="10.140625" style="72" customWidth="1"/>
    <col min="13008" max="13008" width="1" style="72" customWidth="1"/>
    <col min="13009" max="13011" width="3.28515625" style="72" customWidth="1"/>
    <col min="13012" max="13012" width="1.85546875" style="72" customWidth="1"/>
    <col min="13013" max="13013" width="17.85546875" style="72" customWidth="1"/>
    <col min="13014" max="13014" width="1.85546875" style="72" customWidth="1"/>
    <col min="13015" max="13017" width="3.28515625" style="72" customWidth="1"/>
    <col min="13018" max="13018" width="2.85546875" style="72" customWidth="1"/>
    <col min="13019" max="13019" width="1.85546875" style="72" customWidth="1"/>
    <col min="13020" max="13020" width="19.7109375" style="72" customWidth="1"/>
    <col min="13021" max="13021" width="1.85546875" style="72" customWidth="1"/>
    <col min="13022" max="13024" width="3" style="72" customWidth="1"/>
    <col min="13025" max="13025" width="4.42578125" style="72" customWidth="1"/>
    <col min="13026" max="13027" width="3" style="72" customWidth="1"/>
    <col min="13028" max="13033" width="3.28515625" style="72" customWidth="1"/>
    <col min="13034" max="13035" width="9.140625" style="72" customWidth="1"/>
    <col min="13036" max="13039" width="3.28515625" style="72" customWidth="1"/>
    <col min="13040" max="13040" width="4.140625" style="72" customWidth="1"/>
    <col min="13041" max="13041" width="1.7109375" style="72" customWidth="1"/>
    <col min="13042" max="13046" width="3.28515625" style="72" customWidth="1"/>
    <col min="13047" max="13047" width="1.7109375" style="72" customWidth="1"/>
    <col min="13048" max="13052" width="3.28515625" style="72" customWidth="1"/>
    <col min="13053" max="13058" width="9.140625" style="72" customWidth="1"/>
    <col min="13059" max="13059" width="1.7109375" style="72" customWidth="1"/>
    <col min="13060" max="13064" width="3.28515625" style="72" customWidth="1"/>
    <col min="13065" max="13065" width="1.7109375" style="72" customWidth="1"/>
    <col min="13066" max="13066" width="16.5703125" style="72" bestFit="1" customWidth="1"/>
    <col min="13067" max="13068" width="10.28515625" style="72" customWidth="1"/>
    <col min="13069" max="13069" width="18" style="72" bestFit="1" customWidth="1"/>
    <col min="13070" max="13254" width="9.140625" style="72"/>
    <col min="13255" max="13262" width="9.140625" style="72" customWidth="1"/>
    <col min="13263" max="13263" width="10.140625" style="72" customWidth="1"/>
    <col min="13264" max="13264" width="1" style="72" customWidth="1"/>
    <col min="13265" max="13267" width="3.28515625" style="72" customWidth="1"/>
    <col min="13268" max="13268" width="1.85546875" style="72" customWidth="1"/>
    <col min="13269" max="13269" width="17.85546875" style="72" customWidth="1"/>
    <col min="13270" max="13270" width="1.85546875" style="72" customWidth="1"/>
    <col min="13271" max="13273" width="3.28515625" style="72" customWidth="1"/>
    <col min="13274" max="13274" width="2.85546875" style="72" customWidth="1"/>
    <col min="13275" max="13275" width="1.85546875" style="72" customWidth="1"/>
    <col min="13276" max="13276" width="19.7109375" style="72" customWidth="1"/>
    <col min="13277" max="13277" width="1.85546875" style="72" customWidth="1"/>
    <col min="13278" max="13280" width="3" style="72" customWidth="1"/>
    <col min="13281" max="13281" width="4.42578125" style="72" customWidth="1"/>
    <col min="13282" max="13283" width="3" style="72" customWidth="1"/>
    <col min="13284" max="13289" width="3.28515625" style="72" customWidth="1"/>
    <col min="13290" max="13291" width="9.140625" style="72" customWidth="1"/>
    <col min="13292" max="13295" width="3.28515625" style="72" customWidth="1"/>
    <col min="13296" max="13296" width="4.140625" style="72" customWidth="1"/>
    <col min="13297" max="13297" width="1.7109375" style="72" customWidth="1"/>
    <col min="13298" max="13302" width="3.28515625" style="72" customWidth="1"/>
    <col min="13303" max="13303" width="1.7109375" style="72" customWidth="1"/>
    <col min="13304" max="13308" width="3.28515625" style="72" customWidth="1"/>
    <col min="13309" max="13314" width="9.140625" style="72" customWidth="1"/>
    <col min="13315" max="13315" width="1.7109375" style="72" customWidth="1"/>
    <col min="13316" max="13320" width="3.28515625" style="72" customWidth="1"/>
    <col min="13321" max="13321" width="1.7109375" style="72" customWidth="1"/>
    <col min="13322" max="13322" width="16.5703125" style="72" bestFit="1" customWidth="1"/>
    <col min="13323" max="13324" width="10.28515625" style="72" customWidth="1"/>
    <col min="13325" max="13325" width="18" style="72" bestFit="1" customWidth="1"/>
    <col min="13326" max="13510" width="9.140625" style="72"/>
    <col min="13511" max="13518" width="9.140625" style="72" customWidth="1"/>
    <col min="13519" max="13519" width="10.140625" style="72" customWidth="1"/>
    <col min="13520" max="13520" width="1" style="72" customWidth="1"/>
    <col min="13521" max="13523" width="3.28515625" style="72" customWidth="1"/>
    <col min="13524" max="13524" width="1.85546875" style="72" customWidth="1"/>
    <col min="13525" max="13525" width="17.85546875" style="72" customWidth="1"/>
    <col min="13526" max="13526" width="1.85546875" style="72" customWidth="1"/>
    <col min="13527" max="13529" width="3.28515625" style="72" customWidth="1"/>
    <col min="13530" max="13530" width="2.85546875" style="72" customWidth="1"/>
    <col min="13531" max="13531" width="1.85546875" style="72" customWidth="1"/>
    <col min="13532" max="13532" width="19.7109375" style="72" customWidth="1"/>
    <col min="13533" max="13533" width="1.85546875" style="72" customWidth="1"/>
    <col min="13534" max="13536" width="3" style="72" customWidth="1"/>
    <col min="13537" max="13537" width="4.42578125" style="72" customWidth="1"/>
    <col min="13538" max="13539" width="3" style="72" customWidth="1"/>
    <col min="13540" max="13545" width="3.28515625" style="72" customWidth="1"/>
    <col min="13546" max="13547" width="9.140625" style="72" customWidth="1"/>
    <col min="13548" max="13551" width="3.28515625" style="72" customWidth="1"/>
    <col min="13552" max="13552" width="4.140625" style="72" customWidth="1"/>
    <col min="13553" max="13553" width="1.7109375" style="72" customWidth="1"/>
    <col min="13554" max="13558" width="3.28515625" style="72" customWidth="1"/>
    <col min="13559" max="13559" width="1.7109375" style="72" customWidth="1"/>
    <col min="13560" max="13564" width="3.28515625" style="72" customWidth="1"/>
    <col min="13565" max="13570" width="9.140625" style="72" customWidth="1"/>
    <col min="13571" max="13571" width="1.7109375" style="72" customWidth="1"/>
    <col min="13572" max="13576" width="3.28515625" style="72" customWidth="1"/>
    <col min="13577" max="13577" width="1.7109375" style="72" customWidth="1"/>
    <col min="13578" max="13578" width="16.5703125" style="72" bestFit="1" customWidth="1"/>
    <col min="13579" max="13580" width="10.28515625" style="72" customWidth="1"/>
    <col min="13581" max="13581" width="18" style="72" bestFit="1" customWidth="1"/>
    <col min="13582" max="13766" width="9.140625" style="72"/>
    <col min="13767" max="13774" width="9.140625" style="72" customWidth="1"/>
    <col min="13775" max="13775" width="10.140625" style="72" customWidth="1"/>
    <col min="13776" max="13776" width="1" style="72" customWidth="1"/>
    <col min="13777" max="13779" width="3.28515625" style="72" customWidth="1"/>
    <col min="13780" max="13780" width="1.85546875" style="72" customWidth="1"/>
    <col min="13781" max="13781" width="17.85546875" style="72" customWidth="1"/>
    <col min="13782" max="13782" width="1.85546875" style="72" customWidth="1"/>
    <col min="13783" max="13785" width="3.28515625" style="72" customWidth="1"/>
    <col min="13786" max="13786" width="2.85546875" style="72" customWidth="1"/>
    <col min="13787" max="13787" width="1.85546875" style="72" customWidth="1"/>
    <col min="13788" max="13788" width="19.7109375" style="72" customWidth="1"/>
    <col min="13789" max="13789" width="1.85546875" style="72" customWidth="1"/>
    <col min="13790" max="13792" width="3" style="72" customWidth="1"/>
    <col min="13793" max="13793" width="4.42578125" style="72" customWidth="1"/>
    <col min="13794" max="13795" width="3" style="72" customWidth="1"/>
    <col min="13796" max="13801" width="3.28515625" style="72" customWidth="1"/>
    <col min="13802" max="13803" width="9.140625" style="72" customWidth="1"/>
    <col min="13804" max="13807" width="3.28515625" style="72" customWidth="1"/>
    <col min="13808" max="13808" width="4.140625" style="72" customWidth="1"/>
    <col min="13809" max="13809" width="1.7109375" style="72" customWidth="1"/>
    <col min="13810" max="13814" width="3.28515625" style="72" customWidth="1"/>
    <col min="13815" max="13815" width="1.7109375" style="72" customWidth="1"/>
    <col min="13816" max="13820" width="3.28515625" style="72" customWidth="1"/>
    <col min="13821" max="13826" width="9.140625" style="72" customWidth="1"/>
    <col min="13827" max="13827" width="1.7109375" style="72" customWidth="1"/>
    <col min="13828" max="13832" width="3.28515625" style="72" customWidth="1"/>
    <col min="13833" max="13833" width="1.7109375" style="72" customWidth="1"/>
    <col min="13834" max="13834" width="16.5703125" style="72" bestFit="1" customWidth="1"/>
    <col min="13835" max="13836" width="10.28515625" style="72" customWidth="1"/>
    <col min="13837" max="13837" width="18" style="72" bestFit="1" customWidth="1"/>
    <col min="13838" max="14022" width="9.140625" style="72"/>
    <col min="14023" max="14030" width="9.140625" style="72" customWidth="1"/>
    <col min="14031" max="14031" width="10.140625" style="72" customWidth="1"/>
    <col min="14032" max="14032" width="1" style="72" customWidth="1"/>
    <col min="14033" max="14035" width="3.28515625" style="72" customWidth="1"/>
    <col min="14036" max="14036" width="1.85546875" style="72" customWidth="1"/>
    <col min="14037" max="14037" width="17.85546875" style="72" customWidth="1"/>
    <col min="14038" max="14038" width="1.85546875" style="72" customWidth="1"/>
    <col min="14039" max="14041" width="3.28515625" style="72" customWidth="1"/>
    <col min="14042" max="14042" width="2.85546875" style="72" customWidth="1"/>
    <col min="14043" max="14043" width="1.85546875" style="72" customWidth="1"/>
    <col min="14044" max="14044" width="19.7109375" style="72" customWidth="1"/>
    <col min="14045" max="14045" width="1.85546875" style="72" customWidth="1"/>
    <col min="14046" max="14048" width="3" style="72" customWidth="1"/>
    <col min="14049" max="14049" width="4.42578125" style="72" customWidth="1"/>
    <col min="14050" max="14051" width="3" style="72" customWidth="1"/>
    <col min="14052" max="14057" width="3.28515625" style="72" customWidth="1"/>
    <col min="14058" max="14059" width="9.140625" style="72" customWidth="1"/>
    <col min="14060" max="14063" width="3.28515625" style="72" customWidth="1"/>
    <col min="14064" max="14064" width="4.140625" style="72" customWidth="1"/>
    <col min="14065" max="14065" width="1.7109375" style="72" customWidth="1"/>
    <col min="14066" max="14070" width="3.28515625" style="72" customWidth="1"/>
    <col min="14071" max="14071" width="1.7109375" style="72" customWidth="1"/>
    <col min="14072" max="14076" width="3.28515625" style="72" customWidth="1"/>
    <col min="14077" max="14082" width="9.140625" style="72" customWidth="1"/>
    <col min="14083" max="14083" width="1.7109375" style="72" customWidth="1"/>
    <col min="14084" max="14088" width="3.28515625" style="72" customWidth="1"/>
    <col min="14089" max="14089" width="1.7109375" style="72" customWidth="1"/>
    <col min="14090" max="14090" width="16.5703125" style="72" bestFit="1" customWidth="1"/>
    <col min="14091" max="14092" width="10.28515625" style="72" customWidth="1"/>
    <col min="14093" max="14093" width="18" style="72" bestFit="1" customWidth="1"/>
    <col min="14094" max="14278" width="9.140625" style="72"/>
    <col min="14279" max="14286" width="9.140625" style="72" customWidth="1"/>
    <col min="14287" max="14287" width="10.140625" style="72" customWidth="1"/>
    <col min="14288" max="14288" width="1" style="72" customWidth="1"/>
    <col min="14289" max="14291" width="3.28515625" style="72" customWidth="1"/>
    <col min="14292" max="14292" width="1.85546875" style="72" customWidth="1"/>
    <col min="14293" max="14293" width="17.85546875" style="72" customWidth="1"/>
    <col min="14294" max="14294" width="1.85546875" style="72" customWidth="1"/>
    <col min="14295" max="14297" width="3.28515625" style="72" customWidth="1"/>
    <col min="14298" max="14298" width="2.85546875" style="72" customWidth="1"/>
    <col min="14299" max="14299" width="1.85546875" style="72" customWidth="1"/>
    <col min="14300" max="14300" width="19.7109375" style="72" customWidth="1"/>
    <col min="14301" max="14301" width="1.85546875" style="72" customWidth="1"/>
    <col min="14302" max="14304" width="3" style="72" customWidth="1"/>
    <col min="14305" max="14305" width="4.42578125" style="72" customWidth="1"/>
    <col min="14306" max="14307" width="3" style="72" customWidth="1"/>
    <col min="14308" max="14313" width="3.28515625" style="72" customWidth="1"/>
    <col min="14314" max="14315" width="9.140625" style="72" customWidth="1"/>
    <col min="14316" max="14319" width="3.28515625" style="72" customWidth="1"/>
    <col min="14320" max="14320" width="4.140625" style="72" customWidth="1"/>
    <col min="14321" max="14321" width="1.7109375" style="72" customWidth="1"/>
    <col min="14322" max="14326" width="3.28515625" style="72" customWidth="1"/>
    <col min="14327" max="14327" width="1.7109375" style="72" customWidth="1"/>
    <col min="14328" max="14332" width="3.28515625" style="72" customWidth="1"/>
    <col min="14333" max="14338" width="9.140625" style="72" customWidth="1"/>
    <col min="14339" max="14339" width="1.7109375" style="72" customWidth="1"/>
    <col min="14340" max="14344" width="3.28515625" style="72" customWidth="1"/>
    <col min="14345" max="14345" width="1.7109375" style="72" customWidth="1"/>
    <col min="14346" max="14346" width="16.5703125" style="72" bestFit="1" customWidth="1"/>
    <col min="14347" max="14348" width="10.28515625" style="72" customWidth="1"/>
    <col min="14349" max="14349" width="18" style="72" bestFit="1" customWidth="1"/>
    <col min="14350" max="14534" width="9.140625" style="72"/>
    <col min="14535" max="14542" width="9.140625" style="72" customWidth="1"/>
    <col min="14543" max="14543" width="10.140625" style="72" customWidth="1"/>
    <col min="14544" max="14544" width="1" style="72" customWidth="1"/>
    <col min="14545" max="14547" width="3.28515625" style="72" customWidth="1"/>
    <col min="14548" max="14548" width="1.85546875" style="72" customWidth="1"/>
    <col min="14549" max="14549" width="17.85546875" style="72" customWidth="1"/>
    <col min="14550" max="14550" width="1.85546875" style="72" customWidth="1"/>
    <col min="14551" max="14553" width="3.28515625" style="72" customWidth="1"/>
    <col min="14554" max="14554" width="2.85546875" style="72" customWidth="1"/>
    <col min="14555" max="14555" width="1.85546875" style="72" customWidth="1"/>
    <col min="14556" max="14556" width="19.7109375" style="72" customWidth="1"/>
    <col min="14557" max="14557" width="1.85546875" style="72" customWidth="1"/>
    <col min="14558" max="14560" width="3" style="72" customWidth="1"/>
    <col min="14561" max="14561" width="4.42578125" style="72" customWidth="1"/>
    <col min="14562" max="14563" width="3" style="72" customWidth="1"/>
    <col min="14564" max="14569" width="3.28515625" style="72" customWidth="1"/>
    <col min="14570" max="14571" width="9.140625" style="72" customWidth="1"/>
    <col min="14572" max="14575" width="3.28515625" style="72" customWidth="1"/>
    <col min="14576" max="14576" width="4.140625" style="72" customWidth="1"/>
    <col min="14577" max="14577" width="1.7109375" style="72" customWidth="1"/>
    <col min="14578" max="14582" width="3.28515625" style="72" customWidth="1"/>
    <col min="14583" max="14583" width="1.7109375" style="72" customWidth="1"/>
    <col min="14584" max="14588" width="3.28515625" style="72" customWidth="1"/>
    <col min="14589" max="14594" width="9.140625" style="72" customWidth="1"/>
    <col min="14595" max="14595" width="1.7109375" style="72" customWidth="1"/>
    <col min="14596" max="14600" width="3.28515625" style="72" customWidth="1"/>
    <col min="14601" max="14601" width="1.7109375" style="72" customWidth="1"/>
    <col min="14602" max="14602" width="16.5703125" style="72" bestFit="1" customWidth="1"/>
    <col min="14603" max="14604" width="10.28515625" style="72" customWidth="1"/>
    <col min="14605" max="14605" width="18" style="72" bestFit="1" customWidth="1"/>
    <col min="14606" max="14790" width="9.140625" style="72"/>
    <col min="14791" max="14798" width="9.140625" style="72" customWidth="1"/>
    <col min="14799" max="14799" width="10.140625" style="72" customWidth="1"/>
    <col min="14800" max="14800" width="1" style="72" customWidth="1"/>
    <col min="14801" max="14803" width="3.28515625" style="72" customWidth="1"/>
    <col min="14804" max="14804" width="1.85546875" style="72" customWidth="1"/>
    <col min="14805" max="14805" width="17.85546875" style="72" customWidth="1"/>
    <col min="14806" max="14806" width="1.85546875" style="72" customWidth="1"/>
    <col min="14807" max="14809" width="3.28515625" style="72" customWidth="1"/>
    <col min="14810" max="14810" width="2.85546875" style="72" customWidth="1"/>
    <col min="14811" max="14811" width="1.85546875" style="72" customWidth="1"/>
    <col min="14812" max="14812" width="19.7109375" style="72" customWidth="1"/>
    <col min="14813" max="14813" width="1.85546875" style="72" customWidth="1"/>
    <col min="14814" max="14816" width="3" style="72" customWidth="1"/>
    <col min="14817" max="14817" width="4.42578125" style="72" customWidth="1"/>
    <col min="14818" max="14819" width="3" style="72" customWidth="1"/>
    <col min="14820" max="14825" width="3.28515625" style="72" customWidth="1"/>
    <col min="14826" max="14827" width="9.140625" style="72" customWidth="1"/>
    <col min="14828" max="14831" width="3.28515625" style="72" customWidth="1"/>
    <col min="14832" max="14832" width="4.140625" style="72" customWidth="1"/>
    <col min="14833" max="14833" width="1.7109375" style="72" customWidth="1"/>
    <col min="14834" max="14838" width="3.28515625" style="72" customWidth="1"/>
    <col min="14839" max="14839" width="1.7109375" style="72" customWidth="1"/>
    <col min="14840" max="14844" width="3.28515625" style="72" customWidth="1"/>
    <col min="14845" max="14850" width="9.140625" style="72" customWidth="1"/>
    <col min="14851" max="14851" width="1.7109375" style="72" customWidth="1"/>
    <col min="14852" max="14856" width="3.28515625" style="72" customWidth="1"/>
    <col min="14857" max="14857" width="1.7109375" style="72" customWidth="1"/>
    <col min="14858" max="14858" width="16.5703125" style="72" bestFit="1" customWidth="1"/>
    <col min="14859" max="14860" width="10.28515625" style="72" customWidth="1"/>
    <col min="14861" max="14861" width="18" style="72" bestFit="1" customWidth="1"/>
    <col min="14862" max="15046" width="9.140625" style="72"/>
    <col min="15047" max="15054" width="9.140625" style="72" customWidth="1"/>
    <col min="15055" max="15055" width="10.140625" style="72" customWidth="1"/>
    <col min="15056" max="15056" width="1" style="72" customWidth="1"/>
    <col min="15057" max="15059" width="3.28515625" style="72" customWidth="1"/>
    <col min="15060" max="15060" width="1.85546875" style="72" customWidth="1"/>
    <col min="15061" max="15061" width="17.85546875" style="72" customWidth="1"/>
    <col min="15062" max="15062" width="1.85546875" style="72" customWidth="1"/>
    <col min="15063" max="15065" width="3.28515625" style="72" customWidth="1"/>
    <col min="15066" max="15066" width="2.85546875" style="72" customWidth="1"/>
    <col min="15067" max="15067" width="1.85546875" style="72" customWidth="1"/>
    <col min="15068" max="15068" width="19.7109375" style="72" customWidth="1"/>
    <col min="15069" max="15069" width="1.85546875" style="72" customWidth="1"/>
    <col min="15070" max="15072" width="3" style="72" customWidth="1"/>
    <col min="15073" max="15073" width="4.42578125" style="72" customWidth="1"/>
    <col min="15074" max="15075" width="3" style="72" customWidth="1"/>
    <col min="15076" max="15081" width="3.28515625" style="72" customWidth="1"/>
    <col min="15082" max="15083" width="9.140625" style="72" customWidth="1"/>
    <col min="15084" max="15087" width="3.28515625" style="72" customWidth="1"/>
    <col min="15088" max="15088" width="4.140625" style="72" customWidth="1"/>
    <col min="15089" max="15089" width="1.7109375" style="72" customWidth="1"/>
    <col min="15090" max="15094" width="3.28515625" style="72" customWidth="1"/>
    <col min="15095" max="15095" width="1.7109375" style="72" customWidth="1"/>
    <col min="15096" max="15100" width="3.28515625" style="72" customWidth="1"/>
    <col min="15101" max="15106" width="9.140625" style="72" customWidth="1"/>
    <col min="15107" max="15107" width="1.7109375" style="72" customWidth="1"/>
    <col min="15108" max="15112" width="3.28515625" style="72" customWidth="1"/>
    <col min="15113" max="15113" width="1.7109375" style="72" customWidth="1"/>
    <col min="15114" max="15114" width="16.5703125" style="72" bestFit="1" customWidth="1"/>
    <col min="15115" max="15116" width="10.28515625" style="72" customWidth="1"/>
    <col min="15117" max="15117" width="18" style="72" bestFit="1" customWidth="1"/>
    <col min="15118" max="15302" width="9.140625" style="72"/>
    <col min="15303" max="15310" width="9.140625" style="72" customWidth="1"/>
    <col min="15311" max="15311" width="10.140625" style="72" customWidth="1"/>
    <col min="15312" max="15312" width="1" style="72" customWidth="1"/>
    <col min="15313" max="15315" width="3.28515625" style="72" customWidth="1"/>
    <col min="15316" max="15316" width="1.85546875" style="72" customWidth="1"/>
    <col min="15317" max="15317" width="17.85546875" style="72" customWidth="1"/>
    <col min="15318" max="15318" width="1.85546875" style="72" customWidth="1"/>
    <col min="15319" max="15321" width="3.28515625" style="72" customWidth="1"/>
    <col min="15322" max="15322" width="2.85546875" style="72" customWidth="1"/>
    <col min="15323" max="15323" width="1.85546875" style="72" customWidth="1"/>
    <col min="15324" max="15324" width="19.7109375" style="72" customWidth="1"/>
    <col min="15325" max="15325" width="1.85546875" style="72" customWidth="1"/>
    <col min="15326" max="15328" width="3" style="72" customWidth="1"/>
    <col min="15329" max="15329" width="4.42578125" style="72" customWidth="1"/>
    <col min="15330" max="15331" width="3" style="72" customWidth="1"/>
    <col min="15332" max="15337" width="3.28515625" style="72" customWidth="1"/>
    <col min="15338" max="15339" width="9.140625" style="72" customWidth="1"/>
    <col min="15340" max="15343" width="3.28515625" style="72" customWidth="1"/>
    <col min="15344" max="15344" width="4.140625" style="72" customWidth="1"/>
    <col min="15345" max="15345" width="1.7109375" style="72" customWidth="1"/>
    <col min="15346" max="15350" width="3.28515625" style="72" customWidth="1"/>
    <col min="15351" max="15351" width="1.7109375" style="72" customWidth="1"/>
    <col min="15352" max="15356" width="3.28515625" style="72" customWidth="1"/>
    <col min="15357" max="15362" width="9.140625" style="72" customWidth="1"/>
    <col min="15363" max="15363" width="1.7109375" style="72" customWidth="1"/>
    <col min="15364" max="15368" width="3.28515625" style="72" customWidth="1"/>
    <col min="15369" max="15369" width="1.7109375" style="72" customWidth="1"/>
    <col min="15370" max="15370" width="16.5703125" style="72" bestFit="1" customWidth="1"/>
    <col min="15371" max="15372" width="10.28515625" style="72" customWidth="1"/>
    <col min="15373" max="15373" width="18" style="72" bestFit="1" customWidth="1"/>
    <col min="15374" max="15558" width="9.140625" style="72"/>
    <col min="15559" max="15566" width="9.140625" style="72" customWidth="1"/>
    <col min="15567" max="15567" width="10.140625" style="72" customWidth="1"/>
    <col min="15568" max="15568" width="1" style="72" customWidth="1"/>
    <col min="15569" max="15571" width="3.28515625" style="72" customWidth="1"/>
    <col min="15572" max="15572" width="1.85546875" style="72" customWidth="1"/>
    <col min="15573" max="15573" width="17.85546875" style="72" customWidth="1"/>
    <col min="15574" max="15574" width="1.85546875" style="72" customWidth="1"/>
    <col min="15575" max="15577" width="3.28515625" style="72" customWidth="1"/>
    <col min="15578" max="15578" width="2.85546875" style="72" customWidth="1"/>
    <col min="15579" max="15579" width="1.85546875" style="72" customWidth="1"/>
    <col min="15580" max="15580" width="19.7109375" style="72" customWidth="1"/>
    <col min="15581" max="15581" width="1.85546875" style="72" customWidth="1"/>
    <col min="15582" max="15584" width="3" style="72" customWidth="1"/>
    <col min="15585" max="15585" width="4.42578125" style="72" customWidth="1"/>
    <col min="15586" max="15587" width="3" style="72" customWidth="1"/>
    <col min="15588" max="15593" width="3.28515625" style="72" customWidth="1"/>
    <col min="15594" max="15595" width="9.140625" style="72" customWidth="1"/>
    <col min="15596" max="15599" width="3.28515625" style="72" customWidth="1"/>
    <col min="15600" max="15600" width="4.140625" style="72" customWidth="1"/>
    <col min="15601" max="15601" width="1.7109375" style="72" customWidth="1"/>
    <col min="15602" max="15606" width="3.28515625" style="72" customWidth="1"/>
    <col min="15607" max="15607" width="1.7109375" style="72" customWidth="1"/>
    <col min="15608" max="15612" width="3.28515625" style="72" customWidth="1"/>
    <col min="15613" max="15618" width="9.140625" style="72" customWidth="1"/>
    <col min="15619" max="15619" width="1.7109375" style="72" customWidth="1"/>
    <col min="15620" max="15624" width="3.28515625" style="72" customWidth="1"/>
    <col min="15625" max="15625" width="1.7109375" style="72" customWidth="1"/>
    <col min="15626" max="15626" width="16.5703125" style="72" bestFit="1" customWidth="1"/>
    <col min="15627" max="15628" width="10.28515625" style="72" customWidth="1"/>
    <col min="15629" max="15629" width="18" style="72" bestFit="1" customWidth="1"/>
    <col min="15630" max="15814" width="9.140625" style="72"/>
    <col min="15815" max="15822" width="9.140625" style="72" customWidth="1"/>
    <col min="15823" max="15823" width="10.140625" style="72" customWidth="1"/>
    <col min="15824" max="15824" width="1" style="72" customWidth="1"/>
    <col min="15825" max="15827" width="3.28515625" style="72" customWidth="1"/>
    <col min="15828" max="15828" width="1.85546875" style="72" customWidth="1"/>
    <col min="15829" max="15829" width="17.85546875" style="72" customWidth="1"/>
    <col min="15830" max="15830" width="1.85546875" style="72" customWidth="1"/>
    <col min="15831" max="15833" width="3.28515625" style="72" customWidth="1"/>
    <col min="15834" max="15834" width="2.85546875" style="72" customWidth="1"/>
    <col min="15835" max="15835" width="1.85546875" style="72" customWidth="1"/>
    <col min="15836" max="15836" width="19.7109375" style="72" customWidth="1"/>
    <col min="15837" max="15837" width="1.85546875" style="72" customWidth="1"/>
    <col min="15838" max="15840" width="3" style="72" customWidth="1"/>
    <col min="15841" max="15841" width="4.42578125" style="72" customWidth="1"/>
    <col min="15842" max="15843" width="3" style="72" customWidth="1"/>
    <col min="15844" max="15849" width="3.28515625" style="72" customWidth="1"/>
    <col min="15850" max="15851" width="9.140625" style="72" customWidth="1"/>
    <col min="15852" max="15855" width="3.28515625" style="72" customWidth="1"/>
    <col min="15856" max="15856" width="4.140625" style="72" customWidth="1"/>
    <col min="15857" max="15857" width="1.7109375" style="72" customWidth="1"/>
    <col min="15858" max="15862" width="3.28515625" style="72" customWidth="1"/>
    <col min="15863" max="15863" width="1.7109375" style="72" customWidth="1"/>
    <col min="15864" max="15868" width="3.28515625" style="72" customWidth="1"/>
    <col min="15869" max="15874" width="9.140625" style="72" customWidth="1"/>
    <col min="15875" max="15875" width="1.7109375" style="72" customWidth="1"/>
    <col min="15876" max="15880" width="3.28515625" style="72" customWidth="1"/>
    <col min="15881" max="15881" width="1.7109375" style="72" customWidth="1"/>
    <col min="15882" max="15882" width="16.5703125" style="72" bestFit="1" customWidth="1"/>
    <col min="15883" max="15884" width="10.28515625" style="72" customWidth="1"/>
    <col min="15885" max="15885" width="18" style="72" bestFit="1" customWidth="1"/>
    <col min="15886" max="16070" width="9.140625" style="72"/>
    <col min="16071" max="16078" width="9.140625" style="72" customWidth="1"/>
    <col min="16079" max="16079" width="10.140625" style="72" customWidth="1"/>
    <col min="16080" max="16080" width="1" style="72" customWidth="1"/>
    <col min="16081" max="16083" width="3.28515625" style="72" customWidth="1"/>
    <col min="16084" max="16084" width="1.85546875" style="72" customWidth="1"/>
    <col min="16085" max="16085" width="17.85546875" style="72" customWidth="1"/>
    <col min="16086" max="16086" width="1.85546875" style="72" customWidth="1"/>
    <col min="16087" max="16089" width="3.28515625" style="72" customWidth="1"/>
    <col min="16090" max="16090" width="2.85546875" style="72" customWidth="1"/>
    <col min="16091" max="16091" width="1.85546875" style="72" customWidth="1"/>
    <col min="16092" max="16092" width="19.7109375" style="72" customWidth="1"/>
    <col min="16093" max="16093" width="1.85546875" style="72" customWidth="1"/>
    <col min="16094" max="16096" width="3" style="72" customWidth="1"/>
    <col min="16097" max="16097" width="4.42578125" style="72" customWidth="1"/>
    <col min="16098" max="16099" width="3" style="72" customWidth="1"/>
    <col min="16100" max="16105" width="3.28515625" style="72" customWidth="1"/>
    <col min="16106" max="16107" width="9.140625" style="72" customWidth="1"/>
    <col min="16108" max="16111" width="3.28515625" style="72" customWidth="1"/>
    <col min="16112" max="16112" width="4.140625" style="72" customWidth="1"/>
    <col min="16113" max="16113" width="1.7109375" style="72" customWidth="1"/>
    <col min="16114" max="16118" width="3.28515625" style="72" customWidth="1"/>
    <col min="16119" max="16119" width="1.7109375" style="72" customWidth="1"/>
    <col min="16120" max="16124" width="3.28515625" style="72" customWidth="1"/>
    <col min="16125" max="16130" width="9.140625" style="72" customWidth="1"/>
    <col min="16131" max="16131" width="1.7109375" style="72" customWidth="1"/>
    <col min="16132" max="16136" width="3.28515625" style="72" customWidth="1"/>
    <col min="16137" max="16137" width="1.7109375" style="72" customWidth="1"/>
    <col min="16138" max="16138" width="16.5703125" style="72" bestFit="1" customWidth="1"/>
    <col min="16139" max="16140" width="10.28515625" style="72" customWidth="1"/>
    <col min="16141" max="16141" width="18" style="72" bestFit="1" customWidth="1"/>
    <col min="16142" max="16384" width="9.140625" style="72"/>
  </cols>
  <sheetData>
    <row r="1" spans="1:29" s="59" customFormat="1" ht="15" customHeight="1">
      <c r="A1" s="576" t="s">
        <v>1501</v>
      </c>
      <c r="D1" s="577"/>
      <c r="F1" s="578"/>
      <c r="G1" s="578"/>
      <c r="Y1" s="60" t="s">
        <v>3696</v>
      </c>
      <c r="Z1" s="61"/>
      <c r="AA1" s="61"/>
      <c r="AB1" s="62"/>
      <c r="AC1" s="579"/>
    </row>
    <row r="2" spans="1:29" s="59" customFormat="1" ht="9.1999999999999993" customHeight="1" thickBot="1">
      <c r="D2" s="577"/>
      <c r="F2" s="578"/>
      <c r="G2" s="578"/>
      <c r="Y2" s="64"/>
      <c r="Z2" s="65"/>
      <c r="AA2" s="65"/>
      <c r="AB2" s="66"/>
      <c r="AC2" s="579"/>
    </row>
    <row r="3" spans="1:29" s="59" customFormat="1" ht="15" customHeight="1">
      <c r="A3" s="72" t="s">
        <v>1503</v>
      </c>
      <c r="D3" s="577"/>
      <c r="F3" s="578"/>
      <c r="G3" s="578"/>
      <c r="AC3" s="579"/>
    </row>
    <row r="4" spans="1:29" s="59" customFormat="1" ht="15" customHeight="1">
      <c r="A4" s="72" t="s">
        <v>1504</v>
      </c>
      <c r="D4" s="577"/>
      <c r="F4" s="578"/>
      <c r="G4" s="578"/>
      <c r="AC4" s="579"/>
    </row>
    <row r="5" spans="1:29" s="59" customFormat="1" ht="15" customHeight="1">
      <c r="D5" s="577"/>
      <c r="F5" s="578"/>
      <c r="G5" s="578"/>
      <c r="AC5" s="579"/>
    </row>
    <row r="6" spans="1:29" ht="76.5" customHeight="1">
      <c r="A6" s="580" t="s">
        <v>3697</v>
      </c>
      <c r="C6" s="581"/>
      <c r="D6" s="582"/>
      <c r="E6" s="581"/>
      <c r="F6" s="583"/>
      <c r="G6" s="583"/>
      <c r="H6" s="581"/>
      <c r="I6" s="581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584"/>
    </row>
    <row r="7" spans="1:29" ht="15" customHeight="1" thickBot="1">
      <c r="B7" s="72"/>
      <c r="C7" s="73"/>
      <c r="E7" s="73"/>
      <c r="F7" s="585"/>
      <c r="G7" s="585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584"/>
    </row>
    <row r="8" spans="1:29" ht="23.45" customHeight="1" thickBot="1">
      <c r="A8" s="1052" t="s">
        <v>1506</v>
      </c>
      <c r="B8" s="1053"/>
      <c r="C8" s="1053"/>
      <c r="D8" s="1053"/>
      <c r="E8" s="1053"/>
      <c r="F8" s="1053"/>
      <c r="G8" s="1053"/>
      <c r="H8" s="1053"/>
      <c r="I8" s="1054"/>
      <c r="J8" s="73"/>
      <c r="K8" s="586" t="s">
        <v>3698</v>
      </c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78"/>
      <c r="AC8" s="584"/>
    </row>
    <row r="9" spans="1:29" ht="15" customHeight="1">
      <c r="A9" s="587"/>
      <c r="B9" s="81"/>
      <c r="C9" s="588"/>
      <c r="D9" s="81"/>
      <c r="E9" s="589"/>
      <c r="F9" s="589"/>
      <c r="G9" s="81"/>
      <c r="H9" s="81"/>
      <c r="I9" s="82"/>
      <c r="J9" s="73"/>
      <c r="K9" s="590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584"/>
    </row>
    <row r="10" spans="1:29" ht="15" customHeight="1">
      <c r="A10" s="591" t="s">
        <v>1507</v>
      </c>
      <c r="B10" s="380">
        <v>60</v>
      </c>
      <c r="C10" s="592" t="s">
        <v>3464</v>
      </c>
      <c r="D10" s="591" t="s">
        <v>3193</v>
      </c>
      <c r="E10" s="593"/>
      <c r="F10" s="593"/>
      <c r="G10" s="84"/>
      <c r="H10" s="84"/>
      <c r="I10" s="85"/>
      <c r="J10" s="73"/>
      <c r="K10" s="594" t="s">
        <v>3699</v>
      </c>
      <c r="L10" s="595"/>
      <c r="M10" s="595"/>
      <c r="N10" s="595"/>
      <c r="O10" s="595"/>
      <c r="P10" s="596"/>
      <c r="Q10" s="596"/>
      <c r="R10" s="597"/>
      <c r="S10" s="597"/>
      <c r="T10" s="597"/>
      <c r="U10" s="597"/>
      <c r="V10" s="596"/>
      <c r="W10" s="596"/>
      <c r="X10" s="596"/>
      <c r="Y10" s="596"/>
      <c r="Z10" s="596"/>
      <c r="AA10" s="596"/>
      <c r="AB10" s="598"/>
      <c r="AC10" s="584"/>
    </row>
    <row r="11" spans="1:29">
      <c r="A11" s="599"/>
      <c r="C11" s="600"/>
      <c r="D11" s="73"/>
      <c r="E11" s="585"/>
      <c r="F11" s="585"/>
      <c r="G11" s="73"/>
      <c r="H11" s="73"/>
      <c r="I11" s="85"/>
      <c r="J11" s="73"/>
      <c r="K11" s="601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85"/>
      <c r="AC11" s="584"/>
    </row>
    <row r="12" spans="1:29" ht="15" customHeight="1">
      <c r="A12" s="599"/>
      <c r="C12" s="600"/>
      <c r="D12" s="73"/>
      <c r="E12" s="585"/>
      <c r="F12" s="585"/>
      <c r="G12" s="73"/>
      <c r="H12" s="73"/>
      <c r="I12" s="85"/>
      <c r="J12" s="73"/>
      <c r="K12" s="602" t="s">
        <v>3700</v>
      </c>
      <c r="L12" s="86"/>
      <c r="M12" s="86"/>
      <c r="N12" s="86"/>
      <c r="O12" s="86"/>
      <c r="P12" s="86"/>
      <c r="Q12" s="73">
        <v>1</v>
      </c>
      <c r="R12" s="84"/>
      <c r="S12" s="73"/>
      <c r="T12" s="73">
        <v>2</v>
      </c>
      <c r="U12" s="84"/>
      <c r="V12" s="73"/>
      <c r="W12" s="73">
        <v>3</v>
      </c>
      <c r="X12" s="84"/>
      <c r="Y12" s="73"/>
      <c r="Z12" s="73">
        <v>4</v>
      </c>
      <c r="AA12" s="84"/>
      <c r="AB12" s="85"/>
      <c r="AC12" s="584"/>
    </row>
    <row r="13" spans="1:29" ht="10.15" customHeight="1">
      <c r="A13" s="599"/>
      <c r="C13" s="600"/>
      <c r="D13" s="73"/>
      <c r="E13" s="585"/>
      <c r="F13" s="585"/>
      <c r="G13" s="73"/>
      <c r="H13" s="73"/>
      <c r="I13" s="85"/>
      <c r="J13" s="73"/>
      <c r="K13" s="601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85"/>
      <c r="AC13" s="584"/>
    </row>
    <row r="14" spans="1:29" ht="15" customHeight="1">
      <c r="A14" s="599"/>
      <c r="C14" s="600"/>
      <c r="D14" s="73"/>
      <c r="E14" s="585"/>
      <c r="F14" s="585"/>
      <c r="G14" s="73"/>
      <c r="H14" s="73"/>
      <c r="I14" s="85"/>
      <c r="J14" s="73"/>
      <c r="K14" s="602" t="s">
        <v>3701</v>
      </c>
      <c r="L14" s="86"/>
      <c r="M14" s="86"/>
      <c r="N14" s="86"/>
      <c r="O14" s="86"/>
      <c r="P14" s="86"/>
      <c r="Q14" s="73"/>
      <c r="R14" s="84"/>
      <c r="S14" s="73"/>
      <c r="T14" s="73"/>
      <c r="U14" s="86" t="s">
        <v>3702</v>
      </c>
      <c r="V14" s="87"/>
      <c r="W14" s="87"/>
      <c r="X14" s="87"/>
      <c r="Y14" s="87"/>
      <c r="Z14" s="603"/>
      <c r="AA14" s="84"/>
      <c r="AB14" s="85"/>
      <c r="AC14" s="584"/>
    </row>
    <row r="15" spans="1:29" ht="15" customHeight="1" thickBot="1">
      <c r="A15" s="604"/>
      <c r="B15" s="90"/>
      <c r="C15" s="605"/>
      <c r="D15" s="90"/>
      <c r="E15" s="606"/>
      <c r="F15" s="606"/>
      <c r="G15" s="90"/>
      <c r="H15" s="90"/>
      <c r="I15" s="91"/>
      <c r="J15" s="73"/>
      <c r="K15" s="607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1"/>
      <c r="AC15" s="584"/>
    </row>
    <row r="16" spans="1:29" ht="7.5" customHeight="1">
      <c r="B16" s="72"/>
      <c r="C16" s="73"/>
      <c r="D16" s="600"/>
      <c r="E16" s="73"/>
      <c r="F16" s="585"/>
      <c r="G16" s="585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584"/>
    </row>
    <row r="17" spans="1:29" ht="7.5" customHeight="1">
      <c r="B17" s="72"/>
      <c r="C17" s="73"/>
      <c r="D17" s="600"/>
      <c r="E17" s="73"/>
      <c r="F17" s="585"/>
      <c r="G17" s="585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584"/>
    </row>
    <row r="18" spans="1:29" ht="7.5" customHeight="1">
      <c r="B18" s="72"/>
      <c r="C18" s="73"/>
      <c r="D18" s="600"/>
      <c r="E18" s="73"/>
      <c r="F18" s="585"/>
      <c r="G18" s="585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584"/>
    </row>
    <row r="19" spans="1:29" ht="7.5" customHeight="1" thickBot="1">
      <c r="B19" s="72"/>
      <c r="C19" s="73"/>
      <c r="D19" s="600"/>
      <c r="E19" s="73"/>
      <c r="F19" s="585"/>
      <c r="G19" s="585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584"/>
    </row>
    <row r="20" spans="1:29" ht="23.45" customHeight="1" thickBot="1">
      <c r="A20" s="1052" t="s">
        <v>1509</v>
      </c>
      <c r="B20" s="1053"/>
      <c r="C20" s="1053"/>
      <c r="D20" s="1053"/>
      <c r="E20" s="1053"/>
      <c r="F20" s="1053"/>
      <c r="G20" s="1053"/>
      <c r="H20" s="1053"/>
      <c r="I20" s="1053"/>
      <c r="J20" s="1053"/>
      <c r="K20" s="1053"/>
      <c r="L20" s="1053"/>
      <c r="M20" s="1053"/>
      <c r="N20" s="1053"/>
      <c r="O20" s="1053"/>
      <c r="P20" s="1053"/>
      <c r="Q20" s="1053"/>
      <c r="R20" s="1053"/>
      <c r="S20" s="1053"/>
      <c r="T20" s="1053"/>
      <c r="U20" s="1053"/>
      <c r="V20" s="1053"/>
      <c r="W20" s="1053"/>
      <c r="X20" s="1053"/>
      <c r="Y20" s="1053"/>
      <c r="Z20" s="1053"/>
      <c r="AA20" s="1053"/>
      <c r="AB20" s="1054"/>
      <c r="AC20" s="584"/>
    </row>
    <row r="21" spans="1:29" ht="15" customHeight="1">
      <c r="A21" s="608"/>
      <c r="B21" s="609"/>
      <c r="C21" s="94"/>
      <c r="D21" s="610"/>
      <c r="E21" s="94"/>
      <c r="F21" s="611"/>
      <c r="G21" s="612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4"/>
      <c r="AC21" s="584"/>
    </row>
    <row r="22" spans="1:29" ht="15" customHeight="1">
      <c r="A22" s="601"/>
      <c r="C22" s="73"/>
      <c r="D22" s="73"/>
      <c r="E22" s="87"/>
      <c r="F22" s="73"/>
      <c r="G22" s="615"/>
      <c r="I22" s="87" t="s">
        <v>3194</v>
      </c>
      <c r="J22" s="84"/>
      <c r="K22" s="73"/>
      <c r="L22" s="73"/>
      <c r="M22" s="87" t="s">
        <v>3703</v>
      </c>
      <c r="N22" s="84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85"/>
      <c r="AC22" s="584"/>
    </row>
    <row r="23" spans="1:29" ht="15" customHeight="1" thickBot="1">
      <c r="A23" s="607"/>
      <c r="B23" s="90"/>
      <c r="C23" s="90"/>
      <c r="D23" s="605"/>
      <c r="E23" s="90"/>
      <c r="F23" s="606"/>
      <c r="G23" s="606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584"/>
    </row>
    <row r="24" spans="1:29" ht="7.5" customHeight="1">
      <c r="C24" s="73"/>
      <c r="D24" s="600"/>
      <c r="E24" s="81"/>
      <c r="F24" s="589"/>
      <c r="G24" s="589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584"/>
    </row>
    <row r="25" spans="1:29" ht="7.5" customHeight="1">
      <c r="C25" s="73"/>
      <c r="D25" s="600"/>
      <c r="E25" s="73"/>
      <c r="F25" s="585"/>
      <c r="G25" s="585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584"/>
    </row>
    <row r="26" spans="1:29" ht="7.5" customHeight="1">
      <c r="C26" s="73"/>
      <c r="D26" s="600"/>
      <c r="E26" s="73"/>
      <c r="F26" s="585"/>
      <c r="G26" s="585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584"/>
    </row>
    <row r="27" spans="1:29" ht="7.5" customHeight="1">
      <c r="C27" s="73"/>
      <c r="D27" s="600"/>
      <c r="E27" s="73"/>
      <c r="F27" s="585"/>
      <c r="G27" s="585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584"/>
    </row>
    <row r="28" spans="1:29" ht="21.75" customHeight="1" thickBot="1">
      <c r="A28" s="616"/>
      <c r="B28" s="616"/>
      <c r="C28" s="616"/>
      <c r="D28" s="600" t="s">
        <v>3704</v>
      </c>
      <c r="E28" s="616"/>
      <c r="F28" s="617"/>
      <c r="G28" s="617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Y28" s="618"/>
      <c r="Z28" s="618"/>
      <c r="AA28" s="618"/>
      <c r="AB28" s="618"/>
    </row>
    <row r="29" spans="1:29" ht="51.75" customHeight="1" thickBot="1">
      <c r="A29" s="619" t="s">
        <v>1510</v>
      </c>
      <c r="B29" s="620" t="s">
        <v>1511</v>
      </c>
      <c r="C29" s="621" t="s">
        <v>1512</v>
      </c>
      <c r="D29" s="622" t="s">
        <v>4876</v>
      </c>
      <c r="E29" s="623" t="s">
        <v>3705</v>
      </c>
      <c r="F29" s="624"/>
      <c r="G29" s="625"/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</row>
    <row r="30" spans="1:29" s="633" customFormat="1" ht="24.95" customHeight="1">
      <c r="A30" s="627"/>
      <c r="B30" s="628" t="s">
        <v>3706</v>
      </c>
      <c r="C30" s="629" t="s">
        <v>3707</v>
      </c>
      <c r="D30" s="630">
        <f>+D31+D58+D95</f>
        <v>36099690</v>
      </c>
      <c r="E30" s="630">
        <f>+E31+E58+E95</f>
        <v>32398864</v>
      </c>
      <c r="F30" s="631"/>
      <c r="G30" s="632"/>
      <c r="J30" s="634"/>
    </row>
    <row r="31" spans="1:29" s="633" customFormat="1" ht="24.95" customHeight="1">
      <c r="A31" s="635"/>
      <c r="B31" s="636" t="s">
        <v>3708</v>
      </c>
      <c r="C31" s="637" t="s">
        <v>3709</v>
      </c>
      <c r="D31" s="638">
        <f>+D32+D35+D38+D43+D44-D53</f>
        <v>24691</v>
      </c>
      <c r="E31" s="638">
        <f>+E32+E35+E38+E43+E44-E53</f>
        <v>39205</v>
      </c>
      <c r="F31" s="639"/>
      <c r="G31" s="632"/>
      <c r="J31" s="634"/>
    </row>
    <row r="32" spans="1:29" s="644" customFormat="1" ht="24.95" customHeight="1">
      <c r="A32" s="640"/>
      <c r="B32" s="641" t="s">
        <v>3710</v>
      </c>
      <c r="C32" s="642" t="s">
        <v>3711</v>
      </c>
      <c r="D32" s="643">
        <f>+D33-D34</f>
        <v>0</v>
      </c>
      <c r="E32" s="643">
        <f>+E33-E34</f>
        <v>0</v>
      </c>
      <c r="F32" s="631"/>
      <c r="G32" s="632"/>
      <c r="J32" s="634"/>
      <c r="K32" s="633"/>
    </row>
    <row r="33" spans="1:11" s="650" customFormat="1" ht="24.95" customHeight="1">
      <c r="A33" s="645"/>
      <c r="B33" s="646" t="s">
        <v>3712</v>
      </c>
      <c r="C33" s="647" t="s">
        <v>3713</v>
      </c>
      <c r="D33" s="648">
        <f>+'SP Attivo Alim'!I4</f>
        <v>0</v>
      </c>
      <c r="E33" s="648">
        <f>+'SP Attivo Alim'!J4</f>
        <v>0</v>
      </c>
      <c r="F33" s="631"/>
      <c r="G33" s="649"/>
      <c r="J33" s="634">
        <f>+'SP Attivo Alim'!I18</f>
        <v>0</v>
      </c>
      <c r="K33" s="633"/>
    </row>
    <row r="34" spans="1:11" s="650" customFormat="1" ht="24.95" customHeight="1">
      <c r="A34" s="645"/>
      <c r="B34" s="646" t="s">
        <v>3714</v>
      </c>
      <c r="C34" s="647" t="s">
        <v>3715</v>
      </c>
      <c r="D34" s="648">
        <f>+'Alimentazione SP P'!I33</f>
        <v>0</v>
      </c>
      <c r="E34" s="648">
        <f>+'Alimentazione SP P'!J33</f>
        <v>0</v>
      </c>
      <c r="F34" s="631"/>
      <c r="G34" s="649"/>
      <c r="J34" s="634"/>
      <c r="K34" s="633"/>
    </row>
    <row r="35" spans="1:11" s="650" customFormat="1" ht="24.95" customHeight="1">
      <c r="A35" s="651"/>
      <c r="B35" s="641" t="s">
        <v>3716</v>
      </c>
      <c r="C35" s="642" t="s">
        <v>3717</v>
      </c>
      <c r="D35" s="643">
        <f>+D36-D37</f>
        <v>0</v>
      </c>
      <c r="E35" s="643">
        <f>+E36-E37</f>
        <v>0</v>
      </c>
      <c r="F35" s="631"/>
      <c r="G35" s="649"/>
      <c r="J35" s="634"/>
      <c r="K35" s="633"/>
    </row>
    <row r="36" spans="1:11" s="650" customFormat="1" ht="24.95" customHeight="1">
      <c r="A36" s="645"/>
      <c r="B36" s="646" t="s">
        <v>3718</v>
      </c>
      <c r="C36" s="647" t="s">
        <v>3719</v>
      </c>
      <c r="D36" s="648">
        <f>+'SP Attivo Alim'!I5</f>
        <v>0</v>
      </c>
      <c r="E36" s="648">
        <f>+'SP Attivo Alim'!J5</f>
        <v>0</v>
      </c>
      <c r="F36" s="631"/>
      <c r="G36" s="649"/>
      <c r="J36" s="634"/>
      <c r="K36" s="633"/>
    </row>
    <row r="37" spans="1:11" s="650" customFormat="1" ht="24.95" customHeight="1">
      <c r="A37" s="645"/>
      <c r="B37" s="646" t="s">
        <v>3720</v>
      </c>
      <c r="C37" s="647" t="s">
        <v>3721</v>
      </c>
      <c r="D37" s="648">
        <f>+'Alimentazione SP P'!I34</f>
        <v>0</v>
      </c>
      <c r="E37" s="648">
        <f>+'Alimentazione SP P'!J34</f>
        <v>0</v>
      </c>
      <c r="F37" s="631"/>
      <c r="G37" s="649"/>
      <c r="J37" s="634"/>
      <c r="K37" s="633"/>
    </row>
    <row r="38" spans="1:11" s="650" customFormat="1" ht="24.95" customHeight="1">
      <c r="A38" s="651"/>
      <c r="B38" s="641" t="s">
        <v>3722</v>
      </c>
      <c r="C38" s="642" t="s">
        <v>3723</v>
      </c>
      <c r="D38" s="643">
        <f>+D39-D40+D41-D42</f>
        <v>0</v>
      </c>
      <c r="E38" s="643">
        <f>+E39-E40+E41-E42</f>
        <v>0</v>
      </c>
      <c r="F38" s="631"/>
      <c r="G38" s="649"/>
      <c r="J38" s="634"/>
      <c r="K38" s="633"/>
    </row>
    <row r="39" spans="1:11" s="650" customFormat="1" ht="34.5" customHeight="1">
      <c r="A39" s="645"/>
      <c r="B39" s="646" t="s">
        <v>3724</v>
      </c>
      <c r="C39" s="647" t="s">
        <v>3725</v>
      </c>
      <c r="D39" s="648">
        <f>+'SP Attivo Alim'!I7</f>
        <v>0</v>
      </c>
      <c r="E39" s="648">
        <f>+'SP Attivo Alim'!J7</f>
        <v>0</v>
      </c>
      <c r="F39" s="631"/>
      <c r="G39" s="649"/>
      <c r="J39" s="634"/>
      <c r="K39" s="633"/>
    </row>
    <row r="40" spans="1:11" s="650" customFormat="1" ht="34.5" customHeight="1">
      <c r="A40" s="645"/>
      <c r="B40" s="646" t="s">
        <v>3726</v>
      </c>
      <c r="C40" s="647" t="s">
        <v>3727</v>
      </c>
      <c r="D40" s="648">
        <f>+'Alimentazione SP P'!I35</f>
        <v>0</v>
      </c>
      <c r="E40" s="648">
        <f>+'Alimentazione SP P'!J35</f>
        <v>0</v>
      </c>
      <c r="F40" s="631"/>
      <c r="G40" s="649"/>
      <c r="J40" s="634"/>
      <c r="K40" s="633"/>
    </row>
    <row r="41" spans="1:11" s="650" customFormat="1" ht="34.5" customHeight="1">
      <c r="A41" s="645"/>
      <c r="B41" s="646" t="s">
        <v>3728</v>
      </c>
      <c r="C41" s="647" t="s">
        <v>3729</v>
      </c>
      <c r="D41" s="648">
        <f>+'SP Attivo Alim'!I8</f>
        <v>0</v>
      </c>
      <c r="E41" s="648">
        <f>+'SP Attivo Alim'!J8</f>
        <v>0</v>
      </c>
      <c r="F41" s="631"/>
      <c r="G41" s="649"/>
      <c r="J41" s="634"/>
      <c r="K41" s="633"/>
    </row>
    <row r="42" spans="1:11" s="650" customFormat="1" ht="34.5" customHeight="1">
      <c r="A42" s="645"/>
      <c r="B42" s="646" t="s">
        <v>3730</v>
      </c>
      <c r="C42" s="647" t="s">
        <v>3731</v>
      </c>
      <c r="D42" s="648">
        <f>+'Alimentazione SP P'!I36</f>
        <v>0</v>
      </c>
      <c r="E42" s="648">
        <f>+'Alimentazione SP P'!J36</f>
        <v>0</v>
      </c>
      <c r="F42" s="631"/>
      <c r="G42" s="649"/>
      <c r="J42" s="634"/>
      <c r="K42" s="633"/>
    </row>
    <row r="43" spans="1:11" s="650" customFormat="1" ht="24.95" customHeight="1">
      <c r="A43" s="645"/>
      <c r="B43" s="652" t="s">
        <v>3732</v>
      </c>
      <c r="C43" s="653" t="s">
        <v>3733</v>
      </c>
      <c r="D43" s="648">
        <f>+'SP Attivo Alim'!I9</f>
        <v>0</v>
      </c>
      <c r="E43" s="648">
        <f>+'SP Attivo Alim'!J9</f>
        <v>0</v>
      </c>
      <c r="F43" s="631"/>
      <c r="G43" s="649"/>
      <c r="J43" s="634"/>
      <c r="K43" s="633"/>
    </row>
    <row r="44" spans="1:11" s="650" customFormat="1" ht="24.95" customHeight="1">
      <c r="A44" s="651"/>
      <c r="B44" s="641" t="s">
        <v>3734</v>
      </c>
      <c r="C44" s="642" t="s">
        <v>3735</v>
      </c>
      <c r="D44" s="643">
        <f>+D45-D46+D47-D48+D49-D50+D51-D52</f>
        <v>24691</v>
      </c>
      <c r="E44" s="643">
        <f>+E45-E46+E47-E48+E49-E50+E51-E52</f>
        <v>39205</v>
      </c>
      <c r="F44" s="631"/>
      <c r="G44" s="649"/>
      <c r="J44" s="634"/>
      <c r="K44" s="633"/>
    </row>
    <row r="45" spans="1:11" s="650" customFormat="1" ht="24.95" customHeight="1">
      <c r="A45" s="645"/>
      <c r="B45" s="646" t="s">
        <v>3736</v>
      </c>
      <c r="C45" s="647" t="s">
        <v>3737</v>
      </c>
      <c r="D45" s="648">
        <f>+'SP Attivo Alim'!I11</f>
        <v>301098</v>
      </c>
      <c r="E45" s="648">
        <f>+'SP Attivo Alim'!J11</f>
        <v>301098</v>
      </c>
      <c r="F45" s="631"/>
      <c r="G45" s="649"/>
      <c r="J45" s="634"/>
      <c r="K45" s="633"/>
    </row>
    <row r="46" spans="1:11" s="650" customFormat="1" ht="24.95" customHeight="1">
      <c r="A46" s="645"/>
      <c r="B46" s="646" t="s">
        <v>3738</v>
      </c>
      <c r="C46" s="647" t="s">
        <v>3739</v>
      </c>
      <c r="D46" s="648">
        <f>+'Alimentazione SP P'!I37</f>
        <v>276407</v>
      </c>
      <c r="E46" s="648">
        <f>+'Alimentazione SP P'!J37</f>
        <v>261893</v>
      </c>
      <c r="F46" s="631"/>
      <c r="G46" s="649"/>
      <c r="J46" s="634"/>
      <c r="K46" s="633"/>
    </row>
    <row r="47" spans="1:11" s="650" customFormat="1" ht="24.95" customHeight="1">
      <c r="A47" s="645"/>
      <c r="B47" s="646" t="s">
        <v>3740</v>
      </c>
      <c r="C47" s="647" t="s">
        <v>3741</v>
      </c>
      <c r="D47" s="648">
        <f>+'SP Attivo Alim'!I12</f>
        <v>39838</v>
      </c>
      <c r="E47" s="648">
        <f>+'SP Attivo Alim'!J12</f>
        <v>39838</v>
      </c>
      <c r="F47" s="631"/>
      <c r="G47" s="649"/>
      <c r="J47" s="634"/>
      <c r="K47" s="633"/>
    </row>
    <row r="48" spans="1:11" s="650" customFormat="1" ht="24.95" customHeight="1">
      <c r="A48" s="645"/>
      <c r="B48" s="646" t="s">
        <v>3742</v>
      </c>
      <c r="C48" s="647" t="s">
        <v>3743</v>
      </c>
      <c r="D48" s="648">
        <f>+'Alimentazione SP P'!I38</f>
        <v>39838</v>
      </c>
      <c r="E48" s="648">
        <f>+'Alimentazione SP P'!J38</f>
        <v>39838</v>
      </c>
      <c r="F48" s="631"/>
      <c r="G48" s="649"/>
      <c r="J48" s="634"/>
      <c r="K48" s="633"/>
    </row>
    <row r="49" spans="1:11" s="650" customFormat="1" ht="24.95" customHeight="1">
      <c r="A49" s="645"/>
      <c r="B49" s="646" t="s">
        <v>3744</v>
      </c>
      <c r="C49" s="647" t="s">
        <v>3745</v>
      </c>
      <c r="D49" s="648">
        <f>+'SP Attivo Alim'!I13</f>
        <v>0</v>
      </c>
      <c r="E49" s="648">
        <f>+'SP Attivo Alim'!J13</f>
        <v>0</v>
      </c>
      <c r="F49" s="631"/>
      <c r="G49" s="649"/>
      <c r="J49" s="634"/>
      <c r="K49" s="633"/>
    </row>
    <row r="50" spans="1:11" s="650" customFormat="1" ht="24.95" customHeight="1">
      <c r="A50" s="645"/>
      <c r="B50" s="646" t="s">
        <v>3746</v>
      </c>
      <c r="C50" s="647" t="s">
        <v>3747</v>
      </c>
      <c r="D50" s="648">
        <f>+'Alimentazione SP P'!I39</f>
        <v>0</v>
      </c>
      <c r="E50" s="648">
        <f>+'Alimentazione SP P'!J39</f>
        <v>0</v>
      </c>
      <c r="F50" s="631"/>
      <c r="G50" s="649"/>
      <c r="J50" s="634"/>
      <c r="K50" s="633"/>
    </row>
    <row r="51" spans="1:11" s="650" customFormat="1" ht="24.95" customHeight="1">
      <c r="A51" s="645"/>
      <c r="B51" s="646" t="s">
        <v>3748</v>
      </c>
      <c r="C51" s="647" t="s">
        <v>3749</v>
      </c>
      <c r="D51" s="648">
        <f>+'SP Attivo Alim'!I14</f>
        <v>0</v>
      </c>
      <c r="E51" s="648">
        <f>+'SP Attivo Alim'!J14</f>
        <v>0</v>
      </c>
      <c r="F51" s="631"/>
      <c r="G51" s="649"/>
      <c r="J51" s="634"/>
      <c r="K51" s="633"/>
    </row>
    <row r="52" spans="1:11" s="650" customFormat="1" ht="24.95" customHeight="1">
      <c r="A52" s="645"/>
      <c r="B52" s="646" t="s">
        <v>3750</v>
      </c>
      <c r="C52" s="647" t="s">
        <v>3751</v>
      </c>
      <c r="D52" s="648">
        <f>+'Alimentazione SP P'!I40</f>
        <v>0</v>
      </c>
      <c r="E52" s="648">
        <f>+'Alimentazione SP P'!J40</f>
        <v>0</v>
      </c>
      <c r="F52" s="631"/>
      <c r="G52" s="649"/>
      <c r="J52" s="634"/>
      <c r="K52" s="633"/>
    </row>
    <row r="53" spans="1:11" s="650" customFormat="1" ht="24.95" customHeight="1">
      <c r="A53" s="651"/>
      <c r="B53" s="641" t="s">
        <v>3752</v>
      </c>
      <c r="C53" s="642" t="s">
        <v>3753</v>
      </c>
      <c r="D53" s="643">
        <f>SUM(D54:D57)</f>
        <v>0</v>
      </c>
      <c r="E53" s="643">
        <f>SUM(E54:E57)</f>
        <v>0</v>
      </c>
      <c r="F53" s="631"/>
      <c r="G53" s="649"/>
      <c r="J53" s="634"/>
      <c r="K53" s="633"/>
    </row>
    <row r="54" spans="1:11" s="650" customFormat="1" ht="24.95" customHeight="1">
      <c r="A54" s="654"/>
      <c r="B54" s="646" t="s">
        <v>3754</v>
      </c>
      <c r="C54" s="647" t="s">
        <v>3755</v>
      </c>
      <c r="D54" s="648">
        <f>+'Alimentazione SP P'!I50</f>
        <v>0</v>
      </c>
      <c r="E54" s="648">
        <f>+'Alimentazione SP P'!J50</f>
        <v>0</v>
      </c>
      <c r="F54" s="631"/>
      <c r="G54" s="649"/>
      <c r="J54" s="634"/>
      <c r="K54" s="633"/>
    </row>
    <row r="55" spans="1:11" s="650" customFormat="1" ht="24.95" customHeight="1">
      <c r="A55" s="645"/>
      <c r="B55" s="646" t="s">
        <v>3756</v>
      </c>
      <c r="C55" s="647" t="s">
        <v>3757</v>
      </c>
      <c r="D55" s="648">
        <f>+'Alimentazione SP P'!I51</f>
        <v>0</v>
      </c>
      <c r="E55" s="648">
        <f>+'Alimentazione SP P'!J51</f>
        <v>0</v>
      </c>
      <c r="F55" s="631"/>
      <c r="G55" s="649"/>
      <c r="J55" s="634"/>
      <c r="K55" s="633"/>
    </row>
    <row r="56" spans="1:11" s="650" customFormat="1" ht="24.95" customHeight="1">
      <c r="A56" s="645"/>
      <c r="B56" s="646" t="s">
        <v>3758</v>
      </c>
      <c r="C56" s="647" t="s">
        <v>3759</v>
      </c>
      <c r="D56" s="648">
        <f>+'Alimentazione SP P'!I52</f>
        <v>0</v>
      </c>
      <c r="E56" s="648">
        <f>+'Alimentazione SP P'!J52</f>
        <v>0</v>
      </c>
      <c r="F56" s="631"/>
      <c r="G56" s="649"/>
      <c r="J56" s="634"/>
      <c r="K56" s="633"/>
    </row>
    <row r="57" spans="1:11" s="650" customFormat="1" ht="24.95" customHeight="1" thickBot="1">
      <c r="A57" s="655"/>
      <c r="B57" s="656" t="s">
        <v>3760</v>
      </c>
      <c r="C57" s="657" t="s">
        <v>3761</v>
      </c>
      <c r="D57" s="648">
        <f>+'Alimentazione SP P'!I53</f>
        <v>0</v>
      </c>
      <c r="E57" s="648">
        <f>+'Alimentazione SP P'!J53</f>
        <v>0</v>
      </c>
      <c r="F57" s="631"/>
      <c r="G57" s="649"/>
      <c r="J57" s="634"/>
      <c r="K57" s="633"/>
    </row>
    <row r="58" spans="1:11" s="650" customFormat="1" ht="24.95" customHeight="1">
      <c r="A58" s="658"/>
      <c r="B58" s="659" t="s">
        <v>3762</v>
      </c>
      <c r="C58" s="660" t="s">
        <v>3763</v>
      </c>
      <c r="D58" s="661">
        <f>+D59+D62+D69+D72+D75+D78+D81+D82+D85-D86</f>
        <v>35892904</v>
      </c>
      <c r="E58" s="661">
        <f>+E59+E62+E69+E72+E75+E78+E81+E82+E85-E86</f>
        <v>32177564</v>
      </c>
      <c r="F58" s="639"/>
      <c r="G58" s="632"/>
      <c r="J58" s="634"/>
      <c r="K58" s="633"/>
    </row>
    <row r="59" spans="1:11" s="650" customFormat="1" ht="24.95" customHeight="1">
      <c r="A59" s="651"/>
      <c r="B59" s="641" t="s">
        <v>3764</v>
      </c>
      <c r="C59" s="642" t="s">
        <v>3765</v>
      </c>
      <c r="D59" s="643">
        <f>+D60+D61</f>
        <v>0</v>
      </c>
      <c r="E59" s="643">
        <f>+E60+E61</f>
        <v>0</v>
      </c>
      <c r="F59" s="631"/>
      <c r="G59" s="632"/>
      <c r="J59" s="634"/>
      <c r="K59" s="633"/>
    </row>
    <row r="60" spans="1:11" s="650" customFormat="1" ht="24.95" customHeight="1">
      <c r="A60" s="645"/>
      <c r="B60" s="646" t="s">
        <v>3766</v>
      </c>
      <c r="C60" s="647" t="s">
        <v>3767</v>
      </c>
      <c r="D60" s="648">
        <f>+'SP Attivo Alim'!I17</f>
        <v>0</v>
      </c>
      <c r="E60" s="648">
        <f>+'SP Attivo Alim'!J17</f>
        <v>0</v>
      </c>
      <c r="F60" s="631"/>
      <c r="G60" s="649"/>
      <c r="J60" s="634"/>
      <c r="K60" s="633"/>
    </row>
    <row r="61" spans="1:11" s="650" customFormat="1" ht="24.95" customHeight="1">
      <c r="A61" s="645"/>
      <c r="B61" s="646" t="s">
        <v>3768</v>
      </c>
      <c r="C61" s="647" t="s">
        <v>3769</v>
      </c>
      <c r="D61" s="648">
        <f>+'SP Attivo Alim'!I18</f>
        <v>0</v>
      </c>
      <c r="E61" s="648">
        <f>+'SP Attivo Alim'!J18</f>
        <v>0</v>
      </c>
      <c r="F61" s="631"/>
      <c r="G61" s="649"/>
      <c r="J61" s="634"/>
      <c r="K61" s="633"/>
    </row>
    <row r="62" spans="1:11" s="650" customFormat="1" ht="24.95" customHeight="1">
      <c r="A62" s="651"/>
      <c r="B62" s="641" t="s">
        <v>3770</v>
      </c>
      <c r="C62" s="642" t="s">
        <v>3771</v>
      </c>
      <c r="D62" s="643">
        <f>+D63+D66</f>
        <v>28198615</v>
      </c>
      <c r="E62" s="643">
        <f>+E63+E66</f>
        <v>21235225</v>
      </c>
      <c r="F62" s="631"/>
      <c r="G62" s="649"/>
      <c r="J62" s="634"/>
      <c r="K62" s="633"/>
    </row>
    <row r="63" spans="1:11" s="650" customFormat="1" ht="24.95" customHeight="1">
      <c r="A63" s="645"/>
      <c r="B63" s="646" t="s">
        <v>3772</v>
      </c>
      <c r="C63" s="647" t="s">
        <v>3773</v>
      </c>
      <c r="D63" s="648">
        <f>+D64-D65</f>
        <v>2226878</v>
      </c>
      <c r="E63" s="648">
        <f>+E64-E65</f>
        <v>381593</v>
      </c>
      <c r="F63" s="631"/>
      <c r="G63" s="649"/>
      <c r="J63" s="634"/>
      <c r="K63" s="633"/>
    </row>
    <row r="64" spans="1:11" s="650" customFormat="1" ht="24.95" customHeight="1">
      <c r="A64" s="645"/>
      <c r="B64" s="646" t="s">
        <v>3774</v>
      </c>
      <c r="C64" s="647" t="s">
        <v>3775</v>
      </c>
      <c r="D64" s="648">
        <f>+'SP Attivo Alim'!I20</f>
        <v>2540046</v>
      </c>
      <c r="E64" s="648">
        <f>+'SP Attivo Alim'!J20</f>
        <v>646905</v>
      </c>
      <c r="F64" s="631"/>
      <c r="G64" s="649"/>
      <c r="J64" s="634"/>
      <c r="K64" s="633"/>
    </row>
    <row r="65" spans="1:11" s="650" customFormat="1" ht="24.95" customHeight="1">
      <c r="A65" s="645"/>
      <c r="B65" s="646" t="s">
        <v>3776</v>
      </c>
      <c r="C65" s="647" t="s">
        <v>3777</v>
      </c>
      <c r="D65" s="648">
        <f>+'Alimentazione SP P'!I42</f>
        <v>313168</v>
      </c>
      <c r="E65" s="648">
        <f>+'Alimentazione SP P'!J42</f>
        <v>265312</v>
      </c>
      <c r="F65" s="631"/>
      <c r="G65" s="649"/>
      <c r="J65" s="634"/>
      <c r="K65" s="633"/>
    </row>
    <row r="66" spans="1:11" s="650" customFormat="1" ht="24.95" customHeight="1">
      <c r="A66" s="645"/>
      <c r="B66" s="646" t="s">
        <v>3778</v>
      </c>
      <c r="C66" s="647" t="s">
        <v>3779</v>
      </c>
      <c r="D66" s="648">
        <f>+D67-D68</f>
        <v>25971737</v>
      </c>
      <c r="E66" s="648">
        <f>+E67-E68</f>
        <v>20853632</v>
      </c>
      <c r="F66" s="631"/>
      <c r="G66" s="649"/>
      <c r="J66" s="634"/>
      <c r="K66" s="633"/>
    </row>
    <row r="67" spans="1:11" s="650" customFormat="1" ht="24.95" customHeight="1">
      <c r="A67" s="645"/>
      <c r="B67" s="646" t="s">
        <v>3780</v>
      </c>
      <c r="C67" s="647" t="s">
        <v>3781</v>
      </c>
      <c r="D67" s="648">
        <f>+'SP Attivo Alim'!I21</f>
        <v>40393736</v>
      </c>
      <c r="E67" s="648">
        <f>+'SP Attivo Alim'!J21</f>
        <v>34063819</v>
      </c>
      <c r="F67" s="631"/>
      <c r="G67" s="649"/>
      <c r="J67" s="634"/>
      <c r="K67" s="633"/>
    </row>
    <row r="68" spans="1:11" s="650" customFormat="1" ht="24.95" customHeight="1">
      <c r="A68" s="645"/>
      <c r="B68" s="646" t="s">
        <v>3782</v>
      </c>
      <c r="C68" s="647" t="s">
        <v>3783</v>
      </c>
      <c r="D68" s="648">
        <f>+'Alimentazione SP P'!I43</f>
        <v>14421999</v>
      </c>
      <c r="E68" s="648">
        <f>+'Alimentazione SP P'!J43</f>
        <v>13210187</v>
      </c>
      <c r="F68" s="631"/>
      <c r="G68" s="649"/>
      <c r="J68" s="634"/>
      <c r="K68" s="633"/>
    </row>
    <row r="69" spans="1:11" s="650" customFormat="1" ht="24.95" customHeight="1">
      <c r="A69" s="651"/>
      <c r="B69" s="641" t="s">
        <v>3784</v>
      </c>
      <c r="C69" s="642" t="s">
        <v>3785</v>
      </c>
      <c r="D69" s="643">
        <f>+D70-D71</f>
        <v>487849</v>
      </c>
      <c r="E69" s="643">
        <f>+E70-E71</f>
        <v>114</v>
      </c>
      <c r="F69" s="631"/>
      <c r="G69" s="649"/>
      <c r="J69" s="634"/>
      <c r="K69" s="633"/>
    </row>
    <row r="70" spans="1:11" s="650" customFormat="1" ht="24.95" customHeight="1">
      <c r="A70" s="645"/>
      <c r="B70" s="646" t="s">
        <v>3786</v>
      </c>
      <c r="C70" s="647" t="s">
        <v>3787</v>
      </c>
      <c r="D70" s="648">
        <f>+'SP Attivo Alim'!I22</f>
        <v>3662940</v>
      </c>
      <c r="E70" s="648">
        <f>+'SP Attivo Alim'!J22</f>
        <v>3142568</v>
      </c>
      <c r="F70" s="631"/>
      <c r="G70" s="649"/>
      <c r="J70" s="634"/>
      <c r="K70" s="633"/>
    </row>
    <row r="71" spans="1:11" s="650" customFormat="1" ht="24.95" customHeight="1">
      <c r="A71" s="645"/>
      <c r="B71" s="646" t="s">
        <v>3788</v>
      </c>
      <c r="C71" s="647" t="s">
        <v>3789</v>
      </c>
      <c r="D71" s="648">
        <f>+'Alimentazione SP P'!I44</f>
        <v>3175091</v>
      </c>
      <c r="E71" s="648">
        <f>+'Alimentazione SP P'!J44</f>
        <v>3142454</v>
      </c>
      <c r="F71" s="631"/>
      <c r="G71" s="649"/>
      <c r="J71" s="634"/>
      <c r="K71" s="633"/>
    </row>
    <row r="72" spans="1:11" s="650" customFormat="1" ht="24.95" customHeight="1">
      <c r="A72" s="651"/>
      <c r="B72" s="641" t="s">
        <v>3790</v>
      </c>
      <c r="C72" s="642" t="s">
        <v>3791</v>
      </c>
      <c r="D72" s="643">
        <f>+D73-D74</f>
        <v>4800853</v>
      </c>
      <c r="E72" s="643">
        <f>+E73-E74</f>
        <v>4561514</v>
      </c>
      <c r="F72" s="631"/>
      <c r="G72" s="649"/>
      <c r="J72" s="634"/>
      <c r="K72" s="633"/>
    </row>
    <row r="73" spans="1:11" s="650" customFormat="1" ht="24.95" customHeight="1">
      <c r="A73" s="645"/>
      <c r="B73" s="646" t="s">
        <v>3792</v>
      </c>
      <c r="C73" s="647" t="s">
        <v>3793</v>
      </c>
      <c r="D73" s="648">
        <f>+'SP Attivo Alim'!I23</f>
        <v>30434295</v>
      </c>
      <c r="E73" s="648">
        <f>+'SP Attivo Alim'!J23</f>
        <v>31942436</v>
      </c>
      <c r="F73" s="631"/>
      <c r="G73" s="649"/>
      <c r="J73" s="634"/>
      <c r="K73" s="633"/>
    </row>
    <row r="74" spans="1:11" s="650" customFormat="1" ht="24.95" customHeight="1">
      <c r="A74" s="645"/>
      <c r="B74" s="646" t="s">
        <v>3794</v>
      </c>
      <c r="C74" s="647" t="s">
        <v>3795</v>
      </c>
      <c r="D74" s="648">
        <f>+'Alimentazione SP P'!I45</f>
        <v>25633442</v>
      </c>
      <c r="E74" s="648">
        <f>+'Alimentazione SP P'!J45</f>
        <v>27380922</v>
      </c>
      <c r="F74" s="631"/>
      <c r="G74" s="649"/>
      <c r="J74" s="634"/>
      <c r="K74" s="633"/>
    </row>
    <row r="75" spans="1:11" s="650" customFormat="1" ht="24.95" customHeight="1">
      <c r="A75" s="651"/>
      <c r="B75" s="641" t="s">
        <v>3796</v>
      </c>
      <c r="C75" s="642" t="s">
        <v>3797</v>
      </c>
      <c r="D75" s="643">
        <f>+D76-D77</f>
        <v>353455</v>
      </c>
      <c r="E75" s="643">
        <f>+E76-E77</f>
        <v>286498</v>
      </c>
      <c r="F75" s="631"/>
      <c r="G75" s="649"/>
      <c r="J75" s="634"/>
      <c r="K75" s="633"/>
    </row>
    <row r="76" spans="1:11" s="650" customFormat="1" ht="24.95" customHeight="1">
      <c r="A76" s="645"/>
      <c r="B76" s="646" t="s">
        <v>3798</v>
      </c>
      <c r="C76" s="647" t="s">
        <v>3799</v>
      </c>
      <c r="D76" s="648">
        <f>+'SP Attivo Alim'!I24</f>
        <v>2820446</v>
      </c>
      <c r="E76" s="648">
        <f>+'SP Attivo Alim'!J24</f>
        <v>2610680</v>
      </c>
      <c r="F76" s="631"/>
      <c r="G76" s="649"/>
      <c r="J76" s="634"/>
      <c r="K76" s="633"/>
    </row>
    <row r="77" spans="1:11" s="650" customFormat="1" ht="24.95" customHeight="1">
      <c r="A77" s="645"/>
      <c r="B77" s="646" t="s">
        <v>3800</v>
      </c>
      <c r="C77" s="647" t="s">
        <v>3801</v>
      </c>
      <c r="D77" s="648">
        <f>+'Alimentazione SP P'!I46</f>
        <v>2466991</v>
      </c>
      <c r="E77" s="648">
        <f>+'Alimentazione SP P'!J46</f>
        <v>2324182</v>
      </c>
      <c r="F77" s="631"/>
      <c r="G77" s="649"/>
      <c r="J77" s="634"/>
      <c r="K77" s="633"/>
    </row>
    <row r="78" spans="1:11" s="650" customFormat="1" ht="24.95" customHeight="1">
      <c r="A78" s="651"/>
      <c r="B78" s="641" t="s">
        <v>3802</v>
      </c>
      <c r="C78" s="642" t="s">
        <v>3803</v>
      </c>
      <c r="D78" s="643">
        <f>+D79-D80</f>
        <v>1688</v>
      </c>
      <c r="E78" s="643">
        <f>+E79-E80</f>
        <v>5063</v>
      </c>
      <c r="F78" s="631"/>
      <c r="G78" s="649"/>
      <c r="J78" s="634"/>
      <c r="K78" s="633"/>
    </row>
    <row r="79" spans="1:11" s="650" customFormat="1" ht="24.95" customHeight="1">
      <c r="A79" s="645"/>
      <c r="B79" s="646" t="s">
        <v>3804</v>
      </c>
      <c r="C79" s="647" t="s">
        <v>3805</v>
      </c>
      <c r="D79" s="648">
        <f>+'SP Attivo Alim'!I25</f>
        <v>134088</v>
      </c>
      <c r="E79" s="648">
        <f>+'SP Attivo Alim'!J25</f>
        <v>134088</v>
      </c>
      <c r="F79" s="631"/>
      <c r="G79" s="649"/>
      <c r="J79" s="634"/>
      <c r="K79" s="633"/>
    </row>
    <row r="80" spans="1:11" s="650" customFormat="1" ht="24.95" customHeight="1">
      <c r="A80" s="645"/>
      <c r="B80" s="646" t="s">
        <v>3806</v>
      </c>
      <c r="C80" s="647" t="s">
        <v>3807</v>
      </c>
      <c r="D80" s="648">
        <f>+'Alimentazione SP P'!I47</f>
        <v>132400</v>
      </c>
      <c r="E80" s="648">
        <f>+'Alimentazione SP P'!J47</f>
        <v>129025</v>
      </c>
      <c r="F80" s="631"/>
      <c r="G80" s="649"/>
      <c r="J80" s="634"/>
      <c r="K80" s="633"/>
    </row>
    <row r="81" spans="1:11" s="650" customFormat="1" ht="24.95" customHeight="1">
      <c r="A81" s="645"/>
      <c r="B81" s="652" t="s">
        <v>3808</v>
      </c>
      <c r="C81" s="653" t="s">
        <v>3809</v>
      </c>
      <c r="D81" s="648">
        <f>+'SP Attivo Alim'!I26</f>
        <v>0</v>
      </c>
      <c r="E81" s="648">
        <f>+'SP Attivo Alim'!J26</f>
        <v>0</v>
      </c>
      <c r="F81" s="631"/>
      <c r="G81" s="649"/>
      <c r="J81" s="634"/>
      <c r="K81" s="633"/>
    </row>
    <row r="82" spans="1:11" s="650" customFormat="1" ht="24.95" customHeight="1">
      <c r="A82" s="651"/>
      <c r="B82" s="641" t="s">
        <v>3810</v>
      </c>
      <c r="C82" s="642" t="s">
        <v>3811</v>
      </c>
      <c r="D82" s="643">
        <f>+D83-D84</f>
        <v>536142</v>
      </c>
      <c r="E82" s="643">
        <f>+E83-E84</f>
        <v>540316</v>
      </c>
      <c r="F82" s="631"/>
      <c r="G82" s="649"/>
      <c r="J82" s="634"/>
      <c r="K82" s="633"/>
    </row>
    <row r="83" spans="1:11" s="650" customFormat="1" ht="24.95" customHeight="1">
      <c r="A83" s="645"/>
      <c r="B83" s="646" t="s">
        <v>3812</v>
      </c>
      <c r="C83" s="647" t="s">
        <v>3813</v>
      </c>
      <c r="D83" s="648">
        <f>+'SP Attivo Alim'!I27</f>
        <v>5885379</v>
      </c>
      <c r="E83" s="648">
        <f>+'SP Attivo Alim'!J27</f>
        <v>5675333</v>
      </c>
      <c r="F83" s="631"/>
      <c r="G83" s="649"/>
      <c r="J83" s="634"/>
      <c r="K83" s="633"/>
    </row>
    <row r="84" spans="1:11" s="650" customFormat="1" ht="24.95" customHeight="1">
      <c r="A84" s="645"/>
      <c r="B84" s="646" t="s">
        <v>3814</v>
      </c>
      <c r="C84" s="647" t="s">
        <v>3815</v>
      </c>
      <c r="D84" s="648">
        <f>+'Alimentazione SP P'!I48</f>
        <v>5349237</v>
      </c>
      <c r="E84" s="648">
        <f>+'Alimentazione SP P'!J48</f>
        <v>5135017</v>
      </c>
      <c r="F84" s="631"/>
      <c r="G84" s="649"/>
      <c r="J84" s="634"/>
      <c r="K84" s="633"/>
    </row>
    <row r="85" spans="1:11" s="650" customFormat="1" ht="24.95" customHeight="1">
      <c r="A85" s="645"/>
      <c r="B85" s="652" t="s">
        <v>3816</v>
      </c>
      <c r="C85" s="653" t="s">
        <v>3817</v>
      </c>
      <c r="D85" s="648">
        <f>+'SP Attivo Alim'!I28</f>
        <v>1514302</v>
      </c>
      <c r="E85" s="648">
        <f>+'SP Attivo Alim'!J28</f>
        <v>5548834</v>
      </c>
      <c r="F85" s="631"/>
      <c r="G85" s="649"/>
      <c r="J85" s="634"/>
      <c r="K85" s="633"/>
    </row>
    <row r="86" spans="1:11" s="650" customFormat="1" ht="24.95" customHeight="1">
      <c r="A86" s="651"/>
      <c r="B86" s="641" t="s">
        <v>3818</v>
      </c>
      <c r="C86" s="642" t="s">
        <v>3819</v>
      </c>
      <c r="D86" s="643">
        <f>SUM(D87:D94)</f>
        <v>0</v>
      </c>
      <c r="E86" s="643">
        <f>SUM(E87:E94)</f>
        <v>0</v>
      </c>
      <c r="F86" s="631"/>
      <c r="G86" s="649"/>
      <c r="J86" s="634"/>
      <c r="K86" s="633"/>
    </row>
    <row r="87" spans="1:11" s="650" customFormat="1" ht="24.95" customHeight="1">
      <c r="A87" s="645"/>
      <c r="B87" s="646" t="s">
        <v>3820</v>
      </c>
      <c r="C87" s="647" t="s">
        <v>3821</v>
      </c>
      <c r="D87" s="648">
        <f>+'Alimentazione SP P'!I55+'Alimentazione SP P'!I56</f>
        <v>0</v>
      </c>
      <c r="E87" s="648">
        <f>+'Alimentazione SP P'!J55+'Alimentazione SP P'!J56</f>
        <v>0</v>
      </c>
      <c r="F87" s="631"/>
      <c r="G87" s="649"/>
      <c r="J87" s="634"/>
      <c r="K87" s="633"/>
    </row>
    <row r="88" spans="1:11" s="650" customFormat="1" ht="24.95" customHeight="1">
      <c r="A88" s="645"/>
      <c r="B88" s="646" t="s">
        <v>3822</v>
      </c>
      <c r="C88" s="647" t="s">
        <v>3823</v>
      </c>
      <c r="D88" s="648">
        <f>+'Alimentazione SP P'!I57+'Alimentazione SP P'!I58</f>
        <v>0</v>
      </c>
      <c r="E88" s="648">
        <f>+'Alimentazione SP P'!J57+'Alimentazione SP P'!J58</f>
        <v>0</v>
      </c>
      <c r="F88" s="631"/>
      <c r="G88" s="649"/>
      <c r="J88" s="634"/>
      <c r="K88" s="633"/>
    </row>
    <row r="89" spans="1:11" s="650" customFormat="1" ht="24.95" customHeight="1">
      <c r="A89" s="645"/>
      <c r="B89" s="646" t="s">
        <v>3824</v>
      </c>
      <c r="C89" s="647" t="s">
        <v>3825</v>
      </c>
      <c r="D89" s="648">
        <f>+'Alimentazione SP P'!I59</f>
        <v>0</v>
      </c>
      <c r="E89" s="648">
        <f>+'Alimentazione SP P'!J59</f>
        <v>0</v>
      </c>
      <c r="F89" s="631"/>
      <c r="G89" s="649"/>
      <c r="J89" s="634"/>
      <c r="K89" s="633"/>
    </row>
    <row r="90" spans="1:11" s="650" customFormat="1" ht="24.95" customHeight="1">
      <c r="A90" s="645"/>
      <c r="B90" s="646" t="s">
        <v>3826</v>
      </c>
      <c r="C90" s="647" t="s">
        <v>3827</v>
      </c>
      <c r="D90" s="648">
        <f>+'Alimentazione SP P'!I60</f>
        <v>0</v>
      </c>
      <c r="E90" s="648">
        <f>+'Alimentazione SP P'!J60</f>
        <v>0</v>
      </c>
      <c r="F90" s="631"/>
      <c r="G90" s="649"/>
      <c r="J90" s="634"/>
      <c r="K90" s="633"/>
    </row>
    <row r="91" spans="1:11" s="650" customFormat="1" ht="24.95" customHeight="1">
      <c r="A91" s="645"/>
      <c r="B91" s="646" t="s">
        <v>3828</v>
      </c>
      <c r="C91" s="647" t="s">
        <v>3829</v>
      </c>
      <c r="D91" s="648">
        <f>+'Alimentazione SP P'!I61</f>
        <v>0</v>
      </c>
      <c r="E91" s="648">
        <f>+'Alimentazione SP P'!J61</f>
        <v>0</v>
      </c>
      <c r="F91" s="631"/>
      <c r="G91" s="649"/>
      <c r="J91" s="634"/>
      <c r="K91" s="633"/>
    </row>
    <row r="92" spans="1:11" s="650" customFormat="1" ht="24.95" customHeight="1">
      <c r="A92" s="645"/>
      <c r="B92" s="646" t="s">
        <v>3830</v>
      </c>
      <c r="C92" s="647" t="s">
        <v>3831</v>
      </c>
      <c r="D92" s="648">
        <f>+'Alimentazione SP P'!I62</f>
        <v>0</v>
      </c>
      <c r="E92" s="648">
        <f>+'Alimentazione SP P'!J62</f>
        <v>0</v>
      </c>
      <c r="F92" s="631"/>
      <c r="G92" s="649"/>
      <c r="J92" s="634"/>
      <c r="K92" s="633"/>
    </row>
    <row r="93" spans="1:11" s="650" customFormat="1" ht="24.95" customHeight="1">
      <c r="A93" s="645"/>
      <c r="B93" s="646" t="s">
        <v>3832</v>
      </c>
      <c r="C93" s="647" t="s">
        <v>3833</v>
      </c>
      <c r="D93" s="648">
        <f>+'Alimentazione SP P'!I63</f>
        <v>0</v>
      </c>
      <c r="E93" s="648">
        <f>+'Alimentazione SP P'!J63</f>
        <v>0</v>
      </c>
      <c r="F93" s="631"/>
      <c r="G93" s="649"/>
      <c r="J93" s="634"/>
      <c r="K93" s="633"/>
    </row>
    <row r="94" spans="1:11" s="650" customFormat="1" ht="24.95" customHeight="1" thickBot="1">
      <c r="A94" s="655"/>
      <c r="B94" s="656" t="s">
        <v>3834</v>
      </c>
      <c r="C94" s="657" t="s">
        <v>3835</v>
      </c>
      <c r="D94" s="648">
        <f>+'Alimentazione SP P'!I64</f>
        <v>0</v>
      </c>
      <c r="E94" s="648">
        <f>+'Alimentazione SP P'!J64</f>
        <v>0</v>
      </c>
      <c r="F94" s="631"/>
      <c r="G94" s="649"/>
      <c r="J94" s="634"/>
      <c r="K94" s="633"/>
    </row>
    <row r="95" spans="1:11" s="650" customFormat="1" ht="24.95" customHeight="1">
      <c r="A95" s="658"/>
      <c r="B95" s="659" t="s">
        <v>3836</v>
      </c>
      <c r="C95" s="660" t="s">
        <v>3837</v>
      </c>
      <c r="D95" s="661">
        <f>+D96+D101</f>
        <v>182095</v>
      </c>
      <c r="E95" s="661">
        <f>+E96+E101</f>
        <v>182095</v>
      </c>
      <c r="F95" s="631"/>
      <c r="G95" s="649"/>
      <c r="J95" s="634"/>
      <c r="K95" s="633"/>
    </row>
    <row r="96" spans="1:11" s="650" customFormat="1" ht="24.95" customHeight="1">
      <c r="A96" s="651"/>
      <c r="B96" s="641" t="s">
        <v>3838</v>
      </c>
      <c r="C96" s="642" t="s">
        <v>3839</v>
      </c>
      <c r="D96" s="643">
        <f>SUM(D97:D100)</f>
        <v>177095</v>
      </c>
      <c r="E96" s="643">
        <f>SUM(E97:E100)</f>
        <v>177095</v>
      </c>
      <c r="F96" s="631"/>
      <c r="G96" s="649"/>
      <c r="J96" s="634"/>
      <c r="K96" s="633"/>
    </row>
    <row r="97" spans="1:11" s="650" customFormat="1" ht="24.95" customHeight="1">
      <c r="A97" s="645"/>
      <c r="B97" s="646" t="s">
        <v>3840</v>
      </c>
      <c r="C97" s="647" t="s">
        <v>3841</v>
      </c>
      <c r="D97" s="648">
        <f>+'SP Attivo Alim'!I31-'Alimentazione SP P'!I66</f>
        <v>0</v>
      </c>
      <c r="E97" s="648">
        <f>+'SP Attivo Alim'!J31-'Alimentazione SP P'!J66</f>
        <v>0</v>
      </c>
      <c r="F97" s="631"/>
      <c r="G97" s="649"/>
      <c r="J97" s="634"/>
      <c r="K97" s="633"/>
    </row>
    <row r="98" spans="1:11" s="650" customFormat="1" ht="24.95" customHeight="1">
      <c r="A98" s="645"/>
      <c r="B98" s="646" t="s">
        <v>3842</v>
      </c>
      <c r="C98" s="647" t="s">
        <v>3843</v>
      </c>
      <c r="D98" s="648">
        <f>+'SP Attivo Alim'!I32-'Alimentazione SP P'!I67</f>
        <v>0</v>
      </c>
      <c r="E98" s="648">
        <f>+'SP Attivo Alim'!J32-'Alimentazione SP P'!J67</f>
        <v>0</v>
      </c>
      <c r="F98" s="631"/>
      <c r="G98" s="649"/>
      <c r="J98" s="634"/>
      <c r="K98" s="633"/>
    </row>
    <row r="99" spans="1:11" s="650" customFormat="1" ht="24.95" customHeight="1">
      <c r="A99" s="645"/>
      <c r="B99" s="646" t="s">
        <v>3844</v>
      </c>
      <c r="C99" s="647" t="s">
        <v>3845</v>
      </c>
      <c r="D99" s="648">
        <f>+'SP Attivo Alim'!I33-'Alimentazione SP P'!I68</f>
        <v>0</v>
      </c>
      <c r="E99" s="648">
        <f>+'SP Attivo Alim'!J33-'Alimentazione SP P'!J68</f>
        <v>0</v>
      </c>
      <c r="F99" s="631"/>
      <c r="G99" s="649"/>
      <c r="J99" s="634"/>
      <c r="K99" s="633"/>
    </row>
    <row r="100" spans="1:11" s="650" customFormat="1" ht="24.95" customHeight="1">
      <c r="A100" s="645"/>
      <c r="B100" s="646" t="s">
        <v>3846</v>
      </c>
      <c r="C100" s="647" t="s">
        <v>3847</v>
      </c>
      <c r="D100" s="648">
        <f>+'SP Attivo Alim'!I35+'SP Attivo Alim'!I36+'SP Attivo Alim'!I37-'Alimentazione SP P'!I69</f>
        <v>177095</v>
      </c>
      <c r="E100" s="648">
        <f>+'SP Attivo Alim'!J35+'SP Attivo Alim'!J36+'SP Attivo Alim'!J37-'Alimentazione SP P'!J69</f>
        <v>177095</v>
      </c>
      <c r="F100" s="631"/>
      <c r="G100" s="649"/>
      <c r="J100" s="634"/>
      <c r="K100" s="633"/>
    </row>
    <row r="101" spans="1:11" s="650" customFormat="1" ht="24.95" customHeight="1">
      <c r="A101" s="651"/>
      <c r="B101" s="641" t="s">
        <v>3848</v>
      </c>
      <c r="C101" s="642" t="s">
        <v>3849</v>
      </c>
      <c r="D101" s="643">
        <f>+D102+D103</f>
        <v>5000</v>
      </c>
      <c r="E101" s="643">
        <f>+E102+E103</f>
        <v>5000</v>
      </c>
      <c r="F101" s="631"/>
      <c r="G101" s="649"/>
      <c r="J101" s="634"/>
      <c r="K101" s="633"/>
    </row>
    <row r="102" spans="1:11" s="650" customFormat="1" ht="24.95" customHeight="1">
      <c r="A102" s="645"/>
      <c r="B102" s="646" t="s">
        <v>3850</v>
      </c>
      <c r="C102" s="647" t="s">
        <v>3851</v>
      </c>
      <c r="D102" s="648">
        <f>+'SP Attivo Alim'!I39</f>
        <v>5000</v>
      </c>
      <c r="E102" s="648">
        <f>+'SP Attivo Alim'!J39</f>
        <v>5000</v>
      </c>
      <c r="F102" s="631"/>
      <c r="G102" s="649"/>
      <c r="J102" s="634"/>
      <c r="K102" s="633"/>
    </row>
    <row r="103" spans="1:11" s="650" customFormat="1" ht="24.95" customHeight="1">
      <c r="A103" s="645"/>
      <c r="B103" s="646" t="s">
        <v>3852</v>
      </c>
      <c r="C103" s="647" t="s">
        <v>3853</v>
      </c>
      <c r="D103" s="648">
        <f>SUM(D104:D107)</f>
        <v>0</v>
      </c>
      <c r="E103" s="648">
        <f>SUM(E104:E107)</f>
        <v>0</v>
      </c>
      <c r="F103" s="631"/>
      <c r="G103" s="649"/>
      <c r="J103" s="634"/>
      <c r="K103" s="633"/>
    </row>
    <row r="104" spans="1:11" s="650" customFormat="1" ht="24.95" customHeight="1">
      <c r="A104" s="645"/>
      <c r="B104" s="646" t="s">
        <v>3854</v>
      </c>
      <c r="C104" s="647" t="s">
        <v>3855</v>
      </c>
      <c r="D104" s="648">
        <f>+'SP Attivo Alim'!I41</f>
        <v>0</v>
      </c>
      <c r="E104" s="648">
        <f>+'SP Attivo Alim'!J41</f>
        <v>0</v>
      </c>
      <c r="F104" s="631"/>
      <c r="G104" s="649"/>
      <c r="J104" s="634"/>
      <c r="K104" s="633"/>
    </row>
    <row r="105" spans="1:11" s="650" customFormat="1" ht="24.95" customHeight="1">
      <c r="A105" s="645"/>
      <c r="B105" s="646" t="s">
        <v>3856</v>
      </c>
      <c r="C105" s="647" t="s">
        <v>3857</v>
      </c>
      <c r="D105" s="648">
        <f>+'SP Attivo Alim'!I42</f>
        <v>0</v>
      </c>
      <c r="E105" s="648">
        <f>+'SP Attivo Alim'!J42</f>
        <v>0</v>
      </c>
      <c r="F105" s="631"/>
      <c r="G105" s="649"/>
      <c r="J105" s="634"/>
      <c r="K105" s="633"/>
    </row>
    <row r="106" spans="1:11" s="650" customFormat="1" ht="24.95" customHeight="1">
      <c r="A106" s="645"/>
      <c r="B106" s="646" t="s">
        <v>3858</v>
      </c>
      <c r="C106" s="647" t="s">
        <v>3859</v>
      </c>
      <c r="D106" s="648">
        <f>+'SP Attivo Alim'!I43</f>
        <v>0</v>
      </c>
      <c r="E106" s="648">
        <f>+'SP Attivo Alim'!J43</f>
        <v>0</v>
      </c>
      <c r="F106" s="631"/>
      <c r="G106" s="649"/>
      <c r="J106" s="634"/>
      <c r="K106" s="633"/>
    </row>
    <row r="107" spans="1:11" s="650" customFormat="1" ht="24.95" customHeight="1" thickBot="1">
      <c r="A107" s="655"/>
      <c r="B107" s="656" t="s">
        <v>3860</v>
      </c>
      <c r="C107" s="657" t="s">
        <v>3861</v>
      </c>
      <c r="D107" s="648">
        <f>+'SP Attivo Alim'!I44</f>
        <v>0</v>
      </c>
      <c r="E107" s="648">
        <f>+'SP Attivo Alim'!J44</f>
        <v>0</v>
      </c>
      <c r="F107" s="631"/>
      <c r="G107" s="649"/>
      <c r="J107" s="634"/>
      <c r="K107" s="633"/>
    </row>
    <row r="108" spans="1:11" s="650" customFormat="1" ht="24.95" customHeight="1">
      <c r="A108" s="627"/>
      <c r="B108" s="628" t="s">
        <v>3862</v>
      </c>
      <c r="C108" s="629" t="s">
        <v>3863</v>
      </c>
      <c r="D108" s="662">
        <f>+D109+D128+D192+D195</f>
        <v>77347132</v>
      </c>
      <c r="E108" s="662">
        <f>+E109+E128+E192+E195</f>
        <v>79130004</v>
      </c>
      <c r="F108" s="631"/>
      <c r="G108" s="649"/>
      <c r="J108" s="634"/>
      <c r="K108" s="633"/>
    </row>
    <row r="109" spans="1:11" s="650" customFormat="1" ht="24.95" customHeight="1">
      <c r="A109" s="635"/>
      <c r="B109" s="636" t="s">
        <v>3864</v>
      </c>
      <c r="C109" s="637" t="s">
        <v>3865</v>
      </c>
      <c r="D109" s="638">
        <f>+D110+D120</f>
        <v>1315657</v>
      </c>
      <c r="E109" s="638">
        <f>+E110+E120</f>
        <v>1542857</v>
      </c>
      <c r="F109" s="631"/>
      <c r="G109" s="649"/>
      <c r="J109" s="634"/>
      <c r="K109" s="633"/>
    </row>
    <row r="110" spans="1:11" s="650" customFormat="1" ht="24.95" customHeight="1">
      <c r="A110" s="651"/>
      <c r="B110" s="641" t="s">
        <v>3866</v>
      </c>
      <c r="C110" s="642" t="s">
        <v>3867</v>
      </c>
      <c r="D110" s="643">
        <f>SUM(D111:D119)</f>
        <v>1178726</v>
      </c>
      <c r="E110" s="643">
        <f>SUM(E111:E119)</f>
        <v>1425836</v>
      </c>
      <c r="F110" s="631"/>
      <c r="G110" s="649"/>
      <c r="J110" s="634"/>
      <c r="K110" s="633"/>
    </row>
    <row r="111" spans="1:11" s="650" customFormat="1" ht="24.95" customHeight="1">
      <c r="A111" s="645"/>
      <c r="B111" s="646" t="s">
        <v>3868</v>
      </c>
      <c r="C111" s="647" t="s">
        <v>3869</v>
      </c>
      <c r="D111" s="648">
        <f>+'SP Attivo Alim'!I48+'SP Attivo Alim'!I49+'SP Attivo Alim'!I50</f>
        <v>18438</v>
      </c>
      <c r="E111" s="648">
        <f>+'SP Attivo Alim'!J48+'SP Attivo Alim'!J49+'SP Attivo Alim'!J50</f>
        <v>32441</v>
      </c>
      <c r="F111" s="631"/>
      <c r="G111" s="649"/>
      <c r="J111" s="634"/>
      <c r="K111" s="633"/>
    </row>
    <row r="112" spans="1:11" s="650" customFormat="1" ht="24.95" customHeight="1">
      <c r="A112" s="645"/>
      <c r="B112" s="646" t="s">
        <v>3870</v>
      </c>
      <c r="C112" s="647" t="s">
        <v>3871</v>
      </c>
      <c r="D112" s="648">
        <f>+'SP Attivo Alim'!I51</f>
        <v>0</v>
      </c>
      <c r="E112" s="648">
        <f>+'SP Attivo Alim'!J51</f>
        <v>0</v>
      </c>
      <c r="F112" s="631"/>
      <c r="G112" s="649"/>
      <c r="J112" s="634"/>
      <c r="K112" s="633"/>
    </row>
    <row r="113" spans="1:11" s="650" customFormat="1" ht="24.95" customHeight="1">
      <c r="A113" s="645"/>
      <c r="B113" s="646" t="s">
        <v>3872</v>
      </c>
      <c r="C113" s="647" t="s">
        <v>3873</v>
      </c>
      <c r="D113" s="648">
        <f>+'SP Attivo Alim'!I53+'SP Attivo Alim'!I54+'SP Attivo Alim'!I55</f>
        <v>843327</v>
      </c>
      <c r="E113" s="648">
        <f>+'SP Attivo Alim'!J53+'SP Attivo Alim'!J54+'SP Attivo Alim'!J55</f>
        <v>1191501</v>
      </c>
      <c r="F113" s="631"/>
      <c r="G113" s="649"/>
      <c r="J113" s="634"/>
      <c r="K113" s="633"/>
    </row>
    <row r="114" spans="1:11" s="650" customFormat="1" ht="24.95" customHeight="1">
      <c r="A114" s="645"/>
      <c r="B114" s="646" t="s">
        <v>3874</v>
      </c>
      <c r="C114" s="647" t="s">
        <v>3875</v>
      </c>
      <c r="D114" s="648">
        <f>+'SP Attivo Alim'!I56</f>
        <v>1406</v>
      </c>
      <c r="E114" s="648">
        <f>+'SP Attivo Alim'!J56</f>
        <v>1253</v>
      </c>
      <c r="F114" s="631"/>
      <c r="G114" s="649"/>
      <c r="J114" s="634"/>
      <c r="K114" s="633"/>
    </row>
    <row r="115" spans="1:11" s="650" customFormat="1" ht="24.95" customHeight="1">
      <c r="A115" s="645"/>
      <c r="B115" s="646" t="s">
        <v>3876</v>
      </c>
      <c r="C115" s="647" t="s">
        <v>3877</v>
      </c>
      <c r="D115" s="648">
        <f>+'SP Attivo Alim'!I57</f>
        <v>0</v>
      </c>
      <c r="E115" s="648">
        <f>+'SP Attivo Alim'!J57</f>
        <v>0</v>
      </c>
      <c r="F115" s="631"/>
      <c r="G115" s="649"/>
      <c r="J115" s="634"/>
      <c r="K115" s="633"/>
    </row>
    <row r="116" spans="1:11" s="650" customFormat="1" ht="24.95" customHeight="1">
      <c r="A116" s="645"/>
      <c r="B116" s="646" t="s">
        <v>3878</v>
      </c>
      <c r="C116" s="647" t="s">
        <v>3879</v>
      </c>
      <c r="D116" s="648">
        <f>+'SP Attivo Alim'!I58</f>
        <v>76457</v>
      </c>
      <c r="E116" s="648">
        <f>+'SP Attivo Alim'!J58</f>
        <v>69146</v>
      </c>
      <c r="F116" s="631"/>
      <c r="G116" s="649"/>
      <c r="J116" s="634"/>
      <c r="K116" s="633"/>
    </row>
    <row r="117" spans="1:11" s="650" customFormat="1" ht="24.95" customHeight="1">
      <c r="A117" s="645"/>
      <c r="B117" s="646" t="s">
        <v>3880</v>
      </c>
      <c r="C117" s="647" t="s">
        <v>3881</v>
      </c>
      <c r="D117" s="648">
        <f>+'SP Attivo Alim'!I59</f>
        <v>0</v>
      </c>
      <c r="E117" s="648">
        <f>+'SP Attivo Alim'!J59</f>
        <v>0</v>
      </c>
      <c r="F117" s="631"/>
      <c r="G117" s="649"/>
      <c r="J117" s="634"/>
      <c r="K117" s="633"/>
    </row>
    <row r="118" spans="1:11" s="650" customFormat="1" ht="24.95" customHeight="1">
      <c r="A118" s="645"/>
      <c r="B118" s="646" t="s">
        <v>3882</v>
      </c>
      <c r="C118" s="647" t="s">
        <v>3883</v>
      </c>
      <c r="D118" s="648">
        <f>+'SP Attivo Alim'!I60</f>
        <v>239098</v>
      </c>
      <c r="E118" s="648">
        <f>+'SP Attivo Alim'!J60</f>
        <v>131495</v>
      </c>
      <c r="F118" s="631"/>
      <c r="G118" s="649"/>
      <c r="J118" s="634"/>
      <c r="K118" s="633"/>
    </row>
    <row r="119" spans="1:11" s="650" customFormat="1" ht="24.95" customHeight="1">
      <c r="A119" s="645"/>
      <c r="B119" s="646" t="s">
        <v>3884</v>
      </c>
      <c r="C119" s="647" t="s">
        <v>3885</v>
      </c>
      <c r="D119" s="648">
        <f>+'SP Attivo Alim'!I61</f>
        <v>0</v>
      </c>
      <c r="E119" s="648">
        <f>+'SP Attivo Alim'!J61</f>
        <v>0</v>
      </c>
      <c r="F119" s="631"/>
      <c r="G119" s="649"/>
      <c r="J119" s="634"/>
      <c r="K119" s="633"/>
    </row>
    <row r="120" spans="1:11" s="650" customFormat="1" ht="24.95" customHeight="1">
      <c r="A120" s="651"/>
      <c r="B120" s="641" t="s">
        <v>3886</v>
      </c>
      <c r="C120" s="642" t="s">
        <v>3887</v>
      </c>
      <c r="D120" s="643">
        <f>SUM(D121:D127)</f>
        <v>136931</v>
      </c>
      <c r="E120" s="643">
        <f>SUM(E121:E127)</f>
        <v>117021</v>
      </c>
      <c r="F120" s="631"/>
      <c r="G120" s="649"/>
      <c r="J120" s="634"/>
      <c r="K120" s="633"/>
    </row>
    <row r="121" spans="1:11" s="650" customFormat="1" ht="24.95" customHeight="1">
      <c r="A121" s="645"/>
      <c r="B121" s="646" t="s">
        <v>3888</v>
      </c>
      <c r="C121" s="647" t="s">
        <v>3889</v>
      </c>
      <c r="D121" s="648">
        <f>+'SP Attivo Alim'!I63</f>
        <v>93</v>
      </c>
      <c r="E121" s="648">
        <f>+'SP Attivo Alim'!J63</f>
        <v>61</v>
      </c>
      <c r="F121" s="631"/>
      <c r="G121" s="649"/>
      <c r="J121" s="634"/>
      <c r="K121" s="633"/>
    </row>
    <row r="122" spans="1:11" s="650" customFormat="1" ht="24.95" customHeight="1">
      <c r="A122" s="645"/>
      <c r="B122" s="646" t="s">
        <v>3890</v>
      </c>
      <c r="C122" s="647" t="s">
        <v>3891</v>
      </c>
      <c r="D122" s="648">
        <f>+'SP Attivo Alim'!I64</f>
        <v>7921</v>
      </c>
      <c r="E122" s="648">
        <f>+'SP Attivo Alim'!J64</f>
        <v>7647</v>
      </c>
      <c r="F122" s="631"/>
      <c r="G122" s="649"/>
      <c r="J122" s="634"/>
      <c r="K122" s="633"/>
    </row>
    <row r="123" spans="1:11" s="650" customFormat="1" ht="24.95" customHeight="1">
      <c r="A123" s="645"/>
      <c r="B123" s="646" t="s">
        <v>3892</v>
      </c>
      <c r="C123" s="647" t="s">
        <v>3893</v>
      </c>
      <c r="D123" s="648">
        <f>+'SP Attivo Alim'!I65</f>
        <v>0</v>
      </c>
      <c r="E123" s="648">
        <f>+'SP Attivo Alim'!J65</f>
        <v>0</v>
      </c>
      <c r="F123" s="631"/>
      <c r="G123" s="649"/>
      <c r="J123" s="634"/>
      <c r="K123" s="633"/>
    </row>
    <row r="124" spans="1:11" s="650" customFormat="1" ht="24.95" customHeight="1">
      <c r="A124" s="645"/>
      <c r="B124" s="646" t="s">
        <v>3894</v>
      </c>
      <c r="C124" s="647" t="s">
        <v>3895</v>
      </c>
      <c r="D124" s="648">
        <f>+'SP Attivo Alim'!I66</f>
        <v>90433</v>
      </c>
      <c r="E124" s="648">
        <f>+'SP Attivo Alim'!J66</f>
        <v>94431</v>
      </c>
      <c r="F124" s="631"/>
      <c r="G124" s="649"/>
      <c r="J124" s="634"/>
      <c r="K124" s="633"/>
    </row>
    <row r="125" spans="1:11" s="650" customFormat="1" ht="24.95" customHeight="1">
      <c r="A125" s="645"/>
      <c r="B125" s="646" t="s">
        <v>3896</v>
      </c>
      <c r="C125" s="647" t="s">
        <v>3897</v>
      </c>
      <c r="D125" s="648">
        <f>+'SP Attivo Alim'!I67</f>
        <v>7486</v>
      </c>
      <c r="E125" s="648">
        <f>+'SP Attivo Alim'!J67</f>
        <v>5742</v>
      </c>
      <c r="F125" s="631"/>
      <c r="G125" s="649"/>
      <c r="J125" s="634"/>
      <c r="K125" s="633"/>
    </row>
    <row r="126" spans="1:11" s="650" customFormat="1" ht="24.95" customHeight="1">
      <c r="A126" s="645"/>
      <c r="B126" s="646" t="s">
        <v>3898</v>
      </c>
      <c r="C126" s="647" t="s">
        <v>3899</v>
      </c>
      <c r="D126" s="648">
        <f>+'SP Attivo Alim'!I68</f>
        <v>30998</v>
      </c>
      <c r="E126" s="648">
        <f>+'SP Attivo Alim'!J68</f>
        <v>9140</v>
      </c>
      <c r="F126" s="631"/>
      <c r="G126" s="649"/>
      <c r="J126" s="634"/>
      <c r="K126" s="633"/>
    </row>
    <row r="127" spans="1:11" s="650" customFormat="1" ht="24.95" customHeight="1" thickBot="1">
      <c r="A127" s="655"/>
      <c r="B127" s="656" t="s">
        <v>3900</v>
      </c>
      <c r="C127" s="657" t="s">
        <v>3901</v>
      </c>
      <c r="D127" s="648">
        <f>+'SP Attivo Alim'!I69</f>
        <v>0</v>
      </c>
      <c r="E127" s="648">
        <f>+'SP Attivo Alim'!J69</f>
        <v>0</v>
      </c>
      <c r="F127" s="631"/>
      <c r="G127" s="649"/>
      <c r="J127" s="634"/>
      <c r="K127" s="633"/>
    </row>
    <row r="128" spans="1:11" s="650" customFormat="1" ht="24.95" customHeight="1">
      <c r="A128" s="658"/>
      <c r="B128" s="659" t="s">
        <v>3902</v>
      </c>
      <c r="C128" s="660" t="s">
        <v>3903</v>
      </c>
      <c r="D128" s="661">
        <f>+D129+D145+D166+D167+D176++D180+D181</f>
        <v>37191280</v>
      </c>
      <c r="E128" s="661">
        <f>+E129+E145+E166+E167+E176++E180+E181</f>
        <v>38588035</v>
      </c>
      <c r="F128" s="631"/>
      <c r="G128" s="649"/>
      <c r="J128" s="634"/>
      <c r="K128" s="633"/>
    </row>
    <row r="129" spans="1:11" s="650" customFormat="1" ht="24.95" customHeight="1">
      <c r="A129" s="651"/>
      <c r="B129" s="641" t="s">
        <v>3904</v>
      </c>
      <c r="C129" s="642" t="s">
        <v>3905</v>
      </c>
      <c r="D129" s="643">
        <f>SUM(D130:D139,D144)</f>
        <v>18387777</v>
      </c>
      <c r="E129" s="643">
        <f>SUM(E130:E139,E144)</f>
        <v>20622314</v>
      </c>
      <c r="F129" s="631"/>
      <c r="G129" s="649"/>
      <c r="J129" s="634"/>
      <c r="K129" s="633"/>
    </row>
    <row r="130" spans="1:11" s="251" customFormat="1" ht="24.95" customHeight="1">
      <c r="A130" s="663" t="s">
        <v>1579</v>
      </c>
      <c r="B130" s="664" t="s">
        <v>3906</v>
      </c>
      <c r="C130" s="665" t="s">
        <v>3907</v>
      </c>
      <c r="D130" s="648">
        <f>+'SP Attivo Alim'!I72-'Alimentazione SP P'!I70</f>
        <v>0</v>
      </c>
      <c r="E130" s="648">
        <f>+'SP Attivo Alim'!J72-'Alimentazione SP P'!J70</f>
        <v>0</v>
      </c>
      <c r="F130" s="639"/>
      <c r="G130" s="666"/>
      <c r="J130" s="634"/>
      <c r="K130" s="633"/>
    </row>
    <row r="131" spans="1:11" s="251" customFormat="1" ht="24.95" customHeight="1">
      <c r="A131" s="663" t="s">
        <v>1579</v>
      </c>
      <c r="B131" s="664" t="s">
        <v>3908</v>
      </c>
      <c r="C131" s="665" t="s">
        <v>3909</v>
      </c>
      <c r="D131" s="648">
        <f>+'SP Attivo Alim'!I73-'Alimentazione SP P'!I71</f>
        <v>0</v>
      </c>
      <c r="E131" s="648">
        <f>+'SP Attivo Alim'!J73-'Alimentazione SP P'!J71</f>
        <v>2554235</v>
      </c>
      <c r="F131" s="667"/>
      <c r="G131" s="668"/>
      <c r="J131" s="634"/>
      <c r="K131" s="633"/>
    </row>
    <row r="132" spans="1:11" s="251" customFormat="1" ht="24.95" customHeight="1">
      <c r="A132" s="663" t="s">
        <v>1575</v>
      </c>
      <c r="B132" s="664" t="s">
        <v>3910</v>
      </c>
      <c r="C132" s="665" t="s">
        <v>3911</v>
      </c>
      <c r="D132" s="648">
        <f>+'SP Attivo Alim'!I74-'Alimentazione SP P'!I72</f>
        <v>0</v>
      </c>
      <c r="E132" s="648">
        <f>+'SP Attivo Alim'!J74-'Alimentazione SP P'!J72</f>
        <v>0</v>
      </c>
      <c r="F132" s="667"/>
      <c r="G132" s="668"/>
      <c r="J132" s="634"/>
      <c r="K132" s="633"/>
    </row>
    <row r="133" spans="1:11" s="251" customFormat="1" ht="24.95" customHeight="1">
      <c r="A133" s="669"/>
      <c r="B133" s="664" t="s">
        <v>3912</v>
      </c>
      <c r="C133" s="665" t="s">
        <v>3913</v>
      </c>
      <c r="D133" s="648">
        <f>+'SP Attivo Alim'!I75-'Alimentazione SP P'!I73</f>
        <v>0</v>
      </c>
      <c r="E133" s="648">
        <f>+'SP Attivo Alim'!J75-'Alimentazione SP P'!J73</f>
        <v>0</v>
      </c>
      <c r="F133" s="667"/>
      <c r="G133" s="668"/>
      <c r="J133" s="634"/>
      <c r="K133" s="633"/>
    </row>
    <row r="134" spans="1:11" s="251" customFormat="1" ht="30" customHeight="1">
      <c r="A134" s="663" t="s">
        <v>1579</v>
      </c>
      <c r="B134" s="664" t="s">
        <v>3914</v>
      </c>
      <c r="C134" s="665" t="s">
        <v>3915</v>
      </c>
      <c r="D134" s="648">
        <f>+'SP Attivo Alim'!I76-'Alimentazione SP P'!I74</f>
        <v>0</v>
      </c>
      <c r="E134" s="648">
        <f>+'SP Attivo Alim'!J76-'Alimentazione SP P'!J74</f>
        <v>0</v>
      </c>
      <c r="F134" s="667"/>
      <c r="G134" s="668"/>
      <c r="J134" s="634"/>
      <c r="K134" s="633"/>
    </row>
    <row r="135" spans="1:11" s="251" customFormat="1" ht="24.95" customHeight="1">
      <c r="A135" s="663" t="s">
        <v>1579</v>
      </c>
      <c r="B135" s="664" t="s">
        <v>3916</v>
      </c>
      <c r="C135" s="665" t="s">
        <v>3917</v>
      </c>
      <c r="D135" s="648">
        <f>+'SP Attivo Alim'!I77-'Alimentazione SP P'!I75</f>
        <v>0</v>
      </c>
      <c r="E135" s="648">
        <f>+'SP Attivo Alim'!J77-'Alimentazione SP P'!J75</f>
        <v>0</v>
      </c>
      <c r="F135" s="667"/>
      <c r="G135" s="668"/>
      <c r="J135" s="634"/>
      <c r="K135" s="633"/>
    </row>
    <row r="136" spans="1:11" s="251" customFormat="1" ht="24.95" customHeight="1">
      <c r="A136" s="663" t="s">
        <v>1579</v>
      </c>
      <c r="B136" s="664" t="s">
        <v>3918</v>
      </c>
      <c r="C136" s="665" t="s">
        <v>3919</v>
      </c>
      <c r="D136" s="648">
        <f>+'SP Attivo Alim'!I79+'SP Attivo Alim'!I80+'SP Attivo Alim'!I81-'Alimentazione SP P'!I76</f>
        <v>774804</v>
      </c>
      <c r="E136" s="648">
        <f>+'SP Attivo Alim'!J79+'SP Attivo Alim'!J80+'SP Attivo Alim'!J81-'Alimentazione SP P'!J76</f>
        <v>753869</v>
      </c>
      <c r="F136" s="667"/>
      <c r="G136" s="668"/>
      <c r="J136" s="634"/>
      <c r="K136" s="633"/>
    </row>
    <row r="137" spans="1:11" s="667" customFormat="1" ht="24.95" customHeight="1">
      <c r="A137" s="663" t="s">
        <v>1579</v>
      </c>
      <c r="B137" s="664" t="s">
        <v>3920</v>
      </c>
      <c r="C137" s="665" t="s">
        <v>3921</v>
      </c>
      <c r="D137" s="648">
        <f>+'SP Attivo Alim'!I82-'Alimentazione SP P'!I77</f>
        <v>0</v>
      </c>
      <c r="E137" s="648">
        <f>+'SP Attivo Alim'!J82-'Alimentazione SP P'!J77</f>
        <v>0</v>
      </c>
      <c r="G137" s="666"/>
      <c r="J137" s="634"/>
      <c r="K137" s="633"/>
    </row>
    <row r="138" spans="1:11" s="251" customFormat="1" ht="24.95" customHeight="1">
      <c r="A138" s="663" t="s">
        <v>1579</v>
      </c>
      <c r="B138" s="664" t="s">
        <v>3922</v>
      </c>
      <c r="C138" s="665" t="s">
        <v>3923</v>
      </c>
      <c r="D138" s="648">
        <f>+'SP Attivo Alim'!I83-'Alimentazione SP P'!I78</f>
        <v>15901209</v>
      </c>
      <c r="E138" s="648">
        <f>+'SP Attivo Alim'!J83-'Alimentazione SP P'!J78</f>
        <v>15930649</v>
      </c>
      <c r="F138" s="639"/>
      <c r="G138" s="666"/>
      <c r="J138" s="634"/>
      <c r="K138" s="633"/>
    </row>
    <row r="139" spans="1:11" s="251" customFormat="1" ht="24.95" customHeight="1">
      <c r="A139" s="670"/>
      <c r="B139" s="671" t="s">
        <v>3924</v>
      </c>
      <c r="C139" s="672" t="s">
        <v>3925</v>
      </c>
      <c r="D139" s="673">
        <f>+D140+D141+D142+D143</f>
        <v>1709531</v>
      </c>
      <c r="E139" s="673">
        <f>+E140+E141+E142+E143</f>
        <v>1382464</v>
      </c>
      <c r="F139" s="639"/>
      <c r="G139" s="666"/>
      <c r="J139" s="634"/>
      <c r="K139" s="633"/>
    </row>
    <row r="140" spans="1:11" s="251" customFormat="1" ht="24.95" customHeight="1">
      <c r="A140" s="663" t="s">
        <v>1579</v>
      </c>
      <c r="B140" s="664" t="s">
        <v>3926</v>
      </c>
      <c r="C140" s="665" t="s">
        <v>3927</v>
      </c>
      <c r="D140" s="648">
        <f>+'SP Attivo Alim'!I85-'Alimentazione SP P'!I79</f>
        <v>0</v>
      </c>
      <c r="E140" s="648">
        <f>+'SP Attivo Alim'!J85-'Alimentazione SP P'!J79</f>
        <v>0</v>
      </c>
      <c r="F140" s="639"/>
      <c r="G140" s="666"/>
      <c r="J140" s="634"/>
      <c r="K140" s="633"/>
    </row>
    <row r="141" spans="1:11" s="251" customFormat="1" ht="24.95" customHeight="1">
      <c r="A141" s="663" t="s">
        <v>1579</v>
      </c>
      <c r="B141" s="664" t="s">
        <v>3928</v>
      </c>
      <c r="C141" s="665" t="s">
        <v>3929</v>
      </c>
      <c r="D141" s="648">
        <f>+'SP Attivo Alim'!I86-'Alimentazione SP P'!I80</f>
        <v>1044688</v>
      </c>
      <c r="E141" s="648">
        <f>+'SP Attivo Alim'!J86-'Alimentazione SP P'!J80</f>
        <v>1382464</v>
      </c>
      <c r="F141" s="639"/>
      <c r="G141" s="666"/>
      <c r="J141" s="634"/>
      <c r="K141" s="633"/>
    </row>
    <row r="142" spans="1:11" s="251" customFormat="1" ht="24.95" customHeight="1">
      <c r="A142" s="663" t="s">
        <v>1579</v>
      </c>
      <c r="B142" s="664" t="s">
        <v>3930</v>
      </c>
      <c r="C142" s="665" t="s">
        <v>3931</v>
      </c>
      <c r="D142" s="648">
        <f>+'SP Attivo Alim'!I88+'SP Attivo Alim'!I89+'SP Attivo Alim'!I90-'Alimentazione SP P'!I81</f>
        <v>0</v>
      </c>
      <c r="E142" s="648">
        <f>+'SP Attivo Alim'!J88+'SP Attivo Alim'!J89+'SP Attivo Alim'!J90-'Alimentazione SP P'!J81</f>
        <v>0</v>
      </c>
      <c r="F142" s="639"/>
      <c r="G142" s="666"/>
      <c r="J142" s="634"/>
      <c r="K142" s="633"/>
    </row>
    <row r="143" spans="1:11" s="251" customFormat="1" ht="24.95" customHeight="1">
      <c r="A143" s="663" t="s">
        <v>1579</v>
      </c>
      <c r="B143" s="664" t="s">
        <v>3932</v>
      </c>
      <c r="C143" s="665" t="s">
        <v>3933</v>
      </c>
      <c r="D143" s="648">
        <f>+'SP Attivo Alim'!I91-'Alimentazione SP P'!I82</f>
        <v>664843</v>
      </c>
      <c r="E143" s="648">
        <f>+'SP Attivo Alim'!J91-'Alimentazione SP P'!J82</f>
        <v>0</v>
      </c>
      <c r="F143" s="639"/>
      <c r="G143" s="666"/>
      <c r="J143" s="634"/>
      <c r="K143" s="633"/>
    </row>
    <row r="144" spans="1:11" s="251" customFormat="1" ht="24.95" customHeight="1">
      <c r="A144" s="663"/>
      <c r="B144" s="664" t="s">
        <v>3934</v>
      </c>
      <c r="C144" s="665" t="s">
        <v>3935</v>
      </c>
      <c r="D144" s="648">
        <f>+'SP Attivo Alim'!I93+'SP Attivo Alim'!I94+'SP Attivo Alim'!I95-'Alimentazione SP P'!I83</f>
        <v>2233</v>
      </c>
      <c r="E144" s="648">
        <f>+'SP Attivo Alim'!J93+'SP Attivo Alim'!J94+'SP Attivo Alim'!J95-'Alimentazione SP P'!J83</f>
        <v>1097</v>
      </c>
      <c r="F144" s="639"/>
      <c r="G144" s="666"/>
      <c r="J144" s="634"/>
      <c r="K144" s="633"/>
    </row>
    <row r="145" spans="1:11" s="251" customFormat="1" ht="24.95" customHeight="1">
      <c r="A145" s="651"/>
      <c r="B145" s="641" t="s">
        <v>3936</v>
      </c>
      <c r="C145" s="642" t="s">
        <v>3937</v>
      </c>
      <c r="D145" s="643">
        <f>+D146+D157+D164+D165</f>
        <v>8824370</v>
      </c>
      <c r="E145" s="643">
        <f>+E146+E157+E164+E165</f>
        <v>6671951</v>
      </c>
      <c r="F145" s="639"/>
      <c r="G145" s="666"/>
      <c r="J145" s="634"/>
      <c r="K145" s="633"/>
    </row>
    <row r="146" spans="1:11" s="251" customFormat="1" ht="24.95" customHeight="1">
      <c r="A146" s="670"/>
      <c r="B146" s="671" t="s">
        <v>3938</v>
      </c>
      <c r="C146" s="672" t="s">
        <v>3939</v>
      </c>
      <c r="D146" s="673">
        <f>SUM(D147:D156)</f>
        <v>1711494</v>
      </c>
      <c r="E146" s="673">
        <f>SUM(E147:E156)</f>
        <v>1011515</v>
      </c>
      <c r="F146" s="639"/>
      <c r="G146" s="666"/>
      <c r="J146" s="634"/>
      <c r="K146" s="633"/>
    </row>
    <row r="147" spans="1:11" s="251" customFormat="1" ht="33.75" customHeight="1">
      <c r="A147" s="663" t="s">
        <v>3940</v>
      </c>
      <c r="B147" s="664" t="s">
        <v>3941</v>
      </c>
      <c r="C147" s="665" t="s">
        <v>3942</v>
      </c>
      <c r="D147" s="648">
        <f>+'SP Attivo Alim'!I98-'Alimentazione SP P'!I84</f>
        <v>0</v>
      </c>
      <c r="E147" s="648">
        <f>+'SP Attivo Alim'!J98-'Alimentazione SP P'!J84</f>
        <v>0</v>
      </c>
      <c r="F147" s="639"/>
      <c r="G147" s="666"/>
      <c r="J147" s="634"/>
      <c r="K147" s="633"/>
    </row>
    <row r="148" spans="1:11" s="251" customFormat="1" ht="33.75" customHeight="1">
      <c r="A148" s="663" t="s">
        <v>1530</v>
      </c>
      <c r="B148" s="664" t="s">
        <v>3943</v>
      </c>
      <c r="C148" s="665" t="s">
        <v>3944</v>
      </c>
      <c r="D148" s="648">
        <f>+'SP Attivo Alim'!I99-'Alimentazione SP P'!I85</f>
        <v>0</v>
      </c>
      <c r="E148" s="648">
        <f>+'SP Attivo Alim'!J99-'Alimentazione SP P'!J85</f>
        <v>0</v>
      </c>
      <c r="F148" s="639"/>
      <c r="G148" s="666"/>
      <c r="J148" s="634"/>
      <c r="K148" s="633"/>
    </row>
    <row r="149" spans="1:11" s="667" customFormat="1" ht="33.75" customHeight="1">
      <c r="A149" s="663" t="s">
        <v>3940</v>
      </c>
      <c r="B149" s="664" t="s">
        <v>3945</v>
      </c>
      <c r="C149" s="674" t="s">
        <v>3946</v>
      </c>
      <c r="D149" s="648">
        <f>+'SP Attivo Alim'!I100-'Alimentazione SP P'!I86</f>
        <v>787286</v>
      </c>
      <c r="E149" s="648">
        <f>+'SP Attivo Alim'!J100-'Alimentazione SP P'!J86</f>
        <v>526805</v>
      </c>
      <c r="F149" s="251"/>
      <c r="G149" s="666"/>
      <c r="J149" s="634"/>
      <c r="K149" s="633"/>
    </row>
    <row r="150" spans="1:11" s="251" customFormat="1" ht="33.75" customHeight="1">
      <c r="A150" s="663" t="s">
        <v>3940</v>
      </c>
      <c r="B150" s="664" t="s">
        <v>3947</v>
      </c>
      <c r="C150" s="665" t="s">
        <v>3948</v>
      </c>
      <c r="D150" s="648">
        <f>+'SP Attivo Alim'!I101-'Alimentazione SP P'!I87</f>
        <v>0</v>
      </c>
      <c r="E150" s="648">
        <f>+'SP Attivo Alim'!J101-'Alimentazione SP P'!J87</f>
        <v>0</v>
      </c>
      <c r="F150" s="667"/>
      <c r="G150" s="668"/>
      <c r="J150" s="634"/>
      <c r="K150" s="633"/>
    </row>
    <row r="151" spans="1:11" s="251" customFormat="1" ht="33.75" customHeight="1">
      <c r="A151" s="663" t="s">
        <v>3940</v>
      </c>
      <c r="B151" s="664" t="s">
        <v>3949</v>
      </c>
      <c r="C151" s="665" t="s">
        <v>3950</v>
      </c>
      <c r="D151" s="648">
        <f>+'SP Attivo Alim'!I102-'Alimentazione SP P'!I88</f>
        <v>0</v>
      </c>
      <c r="E151" s="648">
        <f>+'SP Attivo Alim'!J102-'Alimentazione SP P'!J88</f>
        <v>0</v>
      </c>
      <c r="F151" s="667"/>
      <c r="G151" s="668"/>
      <c r="J151" s="634"/>
      <c r="K151" s="633"/>
    </row>
    <row r="152" spans="1:11" s="251" customFormat="1" ht="33.75" customHeight="1">
      <c r="A152" s="663" t="s">
        <v>3940</v>
      </c>
      <c r="B152" s="664" t="s">
        <v>3951</v>
      </c>
      <c r="C152" s="665" t="s">
        <v>3952</v>
      </c>
      <c r="D152" s="648">
        <f>+'SP Attivo Alim'!I103-'Alimentazione SP P'!I89</f>
        <v>0</v>
      </c>
      <c r="E152" s="648">
        <f>+'SP Attivo Alim'!J103-'Alimentazione SP P'!J89</f>
        <v>0</v>
      </c>
      <c r="F152" s="667"/>
      <c r="G152" s="668"/>
      <c r="J152" s="634"/>
      <c r="K152" s="633"/>
    </row>
    <row r="153" spans="1:11" s="251" customFormat="1" ht="33.75" customHeight="1">
      <c r="A153" s="663" t="s">
        <v>3940</v>
      </c>
      <c r="B153" s="664" t="s">
        <v>3953</v>
      </c>
      <c r="C153" s="665" t="s">
        <v>3954</v>
      </c>
      <c r="D153" s="648">
        <f>+'SP Attivo Alim'!I105+'SP Attivo Alim'!I106+'SP Attivo Alim'!I107-'Alimentazione SP P'!I90</f>
        <v>780820</v>
      </c>
      <c r="E153" s="648">
        <f>+'SP Attivo Alim'!J105+'SP Attivo Alim'!J106+'SP Attivo Alim'!J107-'Alimentazione SP P'!J90</f>
        <v>240133</v>
      </c>
      <c r="F153" s="667"/>
      <c r="G153" s="668"/>
      <c r="J153" s="634"/>
      <c r="K153" s="633"/>
    </row>
    <row r="154" spans="1:11" s="667" customFormat="1" ht="33.75" customHeight="1">
      <c r="A154" s="675" t="s">
        <v>3940</v>
      </c>
      <c r="B154" s="664" t="s">
        <v>3955</v>
      </c>
      <c r="C154" s="674" t="s">
        <v>3956</v>
      </c>
      <c r="D154" s="648">
        <f>+'SP Attivo Alim'!I108-'Alimentazione SP P'!I91</f>
        <v>0</v>
      </c>
      <c r="E154" s="648">
        <f>+'SP Attivo Alim'!J108-'Alimentazione SP P'!J91</f>
        <v>0</v>
      </c>
      <c r="G154" s="666"/>
      <c r="J154" s="634"/>
      <c r="K154" s="633"/>
    </row>
    <row r="155" spans="1:11" s="251" customFormat="1" ht="33.75" customHeight="1">
      <c r="A155" s="675" t="s">
        <v>3940</v>
      </c>
      <c r="B155" s="664" t="s">
        <v>3957</v>
      </c>
      <c r="C155" s="674" t="s">
        <v>3958</v>
      </c>
      <c r="D155" s="648">
        <f>+'SP Attivo Alim'!I110+'SP Attivo Alim'!I111+'SP Attivo Alim'!I112+'SP Attivo Alim'!I113-'Alimentazione SP P'!I92</f>
        <v>143388</v>
      </c>
      <c r="E155" s="648">
        <f>+'SP Attivo Alim'!J110+'SP Attivo Alim'!J111+'SP Attivo Alim'!J112+'SP Attivo Alim'!J113-'Alimentazione SP P'!J92</f>
        <v>244577</v>
      </c>
      <c r="F155" s="667"/>
      <c r="G155" s="668"/>
      <c r="J155" s="634"/>
      <c r="K155" s="633"/>
    </row>
    <row r="156" spans="1:11" s="667" customFormat="1" ht="33.75" customHeight="1">
      <c r="A156" s="675" t="s">
        <v>3940</v>
      </c>
      <c r="B156" s="664" t="s">
        <v>3959</v>
      </c>
      <c r="C156" s="674" t="s">
        <v>3960</v>
      </c>
      <c r="D156" s="648">
        <f>+'SP Attivo Alim'!I114-'Alimentazione SP P'!I93</f>
        <v>0</v>
      </c>
      <c r="E156" s="648">
        <f>+'SP Attivo Alim'!J114-'Alimentazione SP P'!J93</f>
        <v>0</v>
      </c>
      <c r="G156" s="666"/>
      <c r="J156" s="634"/>
      <c r="K156" s="633"/>
    </row>
    <row r="157" spans="1:11" s="650" customFormat="1" ht="33.75" customHeight="1">
      <c r="A157" s="676"/>
      <c r="B157" s="671" t="s">
        <v>3961</v>
      </c>
      <c r="C157" s="677" t="s">
        <v>3962</v>
      </c>
      <c r="D157" s="673">
        <f>SUM(D158:D163)</f>
        <v>7112876</v>
      </c>
      <c r="E157" s="673">
        <f>SUM(E158:E163)</f>
        <v>5660436</v>
      </c>
      <c r="F157" s="678"/>
      <c r="G157" s="679"/>
      <c r="J157" s="634"/>
      <c r="K157" s="633"/>
    </row>
    <row r="158" spans="1:11" s="650" customFormat="1" ht="33.75" customHeight="1">
      <c r="A158" s="680" t="s">
        <v>3940</v>
      </c>
      <c r="B158" s="646" t="s">
        <v>3963</v>
      </c>
      <c r="C158" s="681" t="s">
        <v>3964</v>
      </c>
      <c r="D158" s="648">
        <f>+'SP Attivo Alim'!I116-'Alimentazione SP P'!I94</f>
        <v>7112876</v>
      </c>
      <c r="E158" s="648">
        <f>+'SP Attivo Alim'!J116-'Alimentazione SP P'!J94</f>
        <v>5660436</v>
      </c>
      <c r="F158" s="678"/>
      <c r="G158" s="679"/>
      <c r="J158" s="634"/>
      <c r="K158" s="633"/>
    </row>
    <row r="159" spans="1:11" s="650" customFormat="1" ht="33.75" customHeight="1">
      <c r="A159" s="680" t="s">
        <v>3940</v>
      </c>
      <c r="B159" s="646" t="s">
        <v>3965</v>
      </c>
      <c r="C159" s="647" t="s">
        <v>3966</v>
      </c>
      <c r="D159" s="648">
        <f>+'SP Attivo Alim'!I117-'Alimentazione SP P'!I95</f>
        <v>0</v>
      </c>
      <c r="E159" s="648">
        <f>+'SP Attivo Alim'!J117-'Alimentazione SP P'!J95</f>
        <v>0</v>
      </c>
      <c r="F159" s="678"/>
      <c r="G159" s="679"/>
      <c r="J159" s="634"/>
      <c r="K159" s="633"/>
    </row>
    <row r="160" spans="1:11" s="650" customFormat="1" ht="33.75" customHeight="1">
      <c r="A160" s="680" t="s">
        <v>3940</v>
      </c>
      <c r="B160" s="646" t="s">
        <v>3967</v>
      </c>
      <c r="C160" s="681" t="s">
        <v>3968</v>
      </c>
      <c r="D160" s="648">
        <f>+'SP Attivo Alim'!I118-'Alimentazione SP P'!I96</f>
        <v>0</v>
      </c>
      <c r="E160" s="648">
        <f>+'SP Attivo Alim'!J118-'Alimentazione SP P'!J96</f>
        <v>0</v>
      </c>
      <c r="F160" s="678"/>
      <c r="G160" s="679"/>
      <c r="J160" s="634"/>
      <c r="K160" s="633"/>
    </row>
    <row r="161" spans="1:11" s="650" customFormat="1" ht="33.75" customHeight="1">
      <c r="A161" s="675" t="s">
        <v>3940</v>
      </c>
      <c r="B161" s="664" t="s">
        <v>3969</v>
      </c>
      <c r="C161" s="674" t="s">
        <v>3970</v>
      </c>
      <c r="D161" s="648">
        <f>+'SP Attivo Alim'!I119</f>
        <v>0</v>
      </c>
      <c r="E161" s="648">
        <f>+'SP Attivo Alim'!J119</f>
        <v>0</v>
      </c>
      <c r="F161" s="678"/>
      <c r="G161" s="679"/>
      <c r="J161" s="634"/>
      <c r="K161" s="633"/>
    </row>
    <row r="162" spans="1:11" s="650" customFormat="1" ht="33.75" customHeight="1">
      <c r="A162" s="675" t="s">
        <v>3940</v>
      </c>
      <c r="B162" s="664" t="s">
        <v>3971</v>
      </c>
      <c r="C162" s="674" t="s">
        <v>3972</v>
      </c>
      <c r="D162" s="648">
        <f>+'SP Attivo Alim'!I120-'Alimentazione SP P'!I97</f>
        <v>0</v>
      </c>
      <c r="E162" s="648">
        <f>+'SP Attivo Alim'!J120-'Alimentazione SP P'!J97</f>
        <v>0</v>
      </c>
      <c r="F162" s="678"/>
      <c r="G162" s="679"/>
      <c r="J162" s="634"/>
      <c r="K162" s="633"/>
    </row>
    <row r="163" spans="1:11" s="650" customFormat="1" ht="33.75" customHeight="1">
      <c r="A163" s="675" t="s">
        <v>3940</v>
      </c>
      <c r="B163" s="664" t="s">
        <v>3973</v>
      </c>
      <c r="C163" s="674" t="s">
        <v>3974</v>
      </c>
      <c r="D163" s="648">
        <f>+'SP Attivo Alim'!I121-'Alimentazione SP P'!I98</f>
        <v>0</v>
      </c>
      <c r="E163" s="648">
        <f>+'SP Attivo Alim'!J121-'Alimentazione SP P'!J98</f>
        <v>0</v>
      </c>
      <c r="F163" s="678"/>
      <c r="G163" s="679"/>
      <c r="J163" s="634"/>
      <c r="K163" s="633"/>
    </row>
    <row r="164" spans="1:11" s="678" customFormat="1" ht="33.75" customHeight="1">
      <c r="A164" s="682"/>
      <c r="B164" s="646" t="s">
        <v>3975</v>
      </c>
      <c r="C164" s="681" t="s">
        <v>3976</v>
      </c>
      <c r="D164" s="648">
        <f>+'SP Attivo Alim'!I122</f>
        <v>0</v>
      </c>
      <c r="E164" s="648">
        <f>+'SP Attivo Alim'!J122</f>
        <v>0</v>
      </c>
      <c r="G164" s="649"/>
      <c r="J164" s="634"/>
      <c r="K164" s="633"/>
    </row>
    <row r="165" spans="1:11" s="678" customFormat="1" ht="33.75" customHeight="1">
      <c r="A165" s="682" t="s">
        <v>3940</v>
      </c>
      <c r="B165" s="646" t="s">
        <v>3977</v>
      </c>
      <c r="C165" s="681" t="s">
        <v>3978</v>
      </c>
      <c r="D165" s="648">
        <f>+'SP Attivo Alim'!I123</f>
        <v>0</v>
      </c>
      <c r="E165" s="648">
        <f>+'SP Attivo Alim'!J123</f>
        <v>0</v>
      </c>
      <c r="G165" s="649"/>
      <c r="J165" s="634"/>
      <c r="K165" s="633"/>
    </row>
    <row r="166" spans="1:11" s="650" customFormat="1" ht="24.95" customHeight="1">
      <c r="A166" s="645"/>
      <c r="B166" s="652" t="s">
        <v>3979</v>
      </c>
      <c r="C166" s="653" t="s">
        <v>3980</v>
      </c>
      <c r="D166" s="648">
        <f>+'SP Attivo Alim'!I125+'SP Attivo Alim'!I126+'SP Attivo Alim'!I127-'Alimentazione SP P'!I99</f>
        <v>0</v>
      </c>
      <c r="E166" s="648">
        <f>+'SP Attivo Alim'!J125+'SP Attivo Alim'!J126+'SP Attivo Alim'!J127-'Alimentazione SP P'!J99</f>
        <v>0</v>
      </c>
      <c r="F166" s="631"/>
      <c r="G166" s="649"/>
      <c r="J166" s="634"/>
      <c r="K166" s="633"/>
    </row>
    <row r="167" spans="1:11" s="650" customFormat="1" ht="24.95" customHeight="1">
      <c r="A167" s="683"/>
      <c r="B167" s="641" t="s">
        <v>3981</v>
      </c>
      <c r="C167" s="642" t="s">
        <v>3982</v>
      </c>
      <c r="D167" s="643">
        <f>+D168+D172+D173+D174+D175</f>
        <v>8441363</v>
      </c>
      <c r="E167" s="643">
        <f>+E168+E172+E173+E174+E175</f>
        <v>7788963</v>
      </c>
      <c r="F167" s="631"/>
      <c r="G167" s="649"/>
      <c r="J167" s="634"/>
      <c r="K167" s="633"/>
    </row>
    <row r="168" spans="1:11" s="650" customFormat="1" ht="24.95" customHeight="1">
      <c r="A168" s="670"/>
      <c r="B168" s="671" t="s">
        <v>3983</v>
      </c>
      <c r="C168" s="672" t="s">
        <v>3984</v>
      </c>
      <c r="D168" s="673">
        <f>+D169+D170+D171</f>
        <v>7918456</v>
      </c>
      <c r="E168" s="673">
        <f>+E169+E170+E171</f>
        <v>7095641</v>
      </c>
      <c r="F168" s="678"/>
      <c r="G168" s="679"/>
      <c r="J168" s="634"/>
      <c r="K168" s="633"/>
    </row>
    <row r="169" spans="1:11" s="650" customFormat="1" ht="24.95" customHeight="1">
      <c r="A169" s="645" t="s">
        <v>1530</v>
      </c>
      <c r="B169" s="646" t="s">
        <v>3985</v>
      </c>
      <c r="C169" s="647" t="s">
        <v>3986</v>
      </c>
      <c r="D169" s="648">
        <f>+'SP Attivo Alim'!I130</f>
        <v>0</v>
      </c>
      <c r="E169" s="648">
        <f>+'SP Attivo Alim'!J130</f>
        <v>0</v>
      </c>
      <c r="F169" s="678"/>
      <c r="G169" s="679"/>
      <c r="J169" s="634"/>
      <c r="K169" s="633"/>
    </row>
    <row r="170" spans="1:11" s="650" customFormat="1" ht="24.95" customHeight="1">
      <c r="A170" s="663" t="s">
        <v>1530</v>
      </c>
      <c r="B170" s="664" t="s">
        <v>3987</v>
      </c>
      <c r="C170" s="665" t="s">
        <v>3988</v>
      </c>
      <c r="D170" s="648">
        <f>+'SP Attivo Alim'!I132+'SP Attivo Alim'!I133+'SP Attivo Alim'!I134</f>
        <v>2781261</v>
      </c>
      <c r="E170" s="648">
        <f>+'SP Attivo Alim'!J132+'SP Attivo Alim'!J133+'SP Attivo Alim'!J134</f>
        <v>3187660</v>
      </c>
      <c r="F170" s="678"/>
      <c r="G170" s="679"/>
      <c r="J170" s="634"/>
      <c r="K170" s="633"/>
    </row>
    <row r="171" spans="1:11" s="650" customFormat="1" ht="24.95" customHeight="1">
      <c r="A171" s="663" t="s">
        <v>1530</v>
      </c>
      <c r="B171" s="664" t="s">
        <v>3989</v>
      </c>
      <c r="C171" s="665" t="s">
        <v>3990</v>
      </c>
      <c r="D171" s="648">
        <f>+'SP Attivo Alim'!I136+'SP Attivo Alim'!I137+'SP Attivo Alim'!I138</f>
        <v>5137195</v>
      </c>
      <c r="E171" s="648">
        <f>+'SP Attivo Alim'!J136+'SP Attivo Alim'!J137+'SP Attivo Alim'!J138</f>
        <v>3907981</v>
      </c>
      <c r="F171" s="678"/>
      <c r="G171" s="679"/>
      <c r="J171" s="634"/>
      <c r="K171" s="633"/>
    </row>
    <row r="172" spans="1:11" s="650" customFormat="1" ht="24.95" customHeight="1">
      <c r="A172" s="663" t="s">
        <v>3940</v>
      </c>
      <c r="B172" s="664" t="s">
        <v>3991</v>
      </c>
      <c r="C172" s="665" t="s">
        <v>3992</v>
      </c>
      <c r="D172" s="648">
        <f>+'SP Attivo Alim'!I139</f>
        <v>0</v>
      </c>
      <c r="E172" s="648">
        <f>+'SP Attivo Alim'!J139</f>
        <v>0</v>
      </c>
      <c r="F172" s="678"/>
      <c r="G172" s="679"/>
      <c r="J172" s="634"/>
      <c r="K172" s="633"/>
    </row>
    <row r="173" spans="1:11" s="650" customFormat="1" ht="26.25" customHeight="1">
      <c r="A173" s="663" t="s">
        <v>3940</v>
      </c>
      <c r="B173" s="664" t="s">
        <v>3993</v>
      </c>
      <c r="C173" s="665" t="s">
        <v>3994</v>
      </c>
      <c r="D173" s="648">
        <f>+'SP Attivo Alim'!I140</f>
        <v>0</v>
      </c>
      <c r="E173" s="648">
        <f>+'SP Attivo Alim'!J140</f>
        <v>0</v>
      </c>
      <c r="F173" s="678"/>
      <c r="G173" s="679"/>
      <c r="J173" s="634"/>
      <c r="K173" s="633"/>
    </row>
    <row r="174" spans="1:11" s="650" customFormat="1" ht="24.95" customHeight="1">
      <c r="A174" s="663" t="s">
        <v>1579</v>
      </c>
      <c r="B174" s="664" t="s">
        <v>3995</v>
      </c>
      <c r="C174" s="665" t="s">
        <v>3996</v>
      </c>
      <c r="D174" s="648">
        <f>+'SP Attivo Alim'!I142+'SP Attivo Alim'!I143+'SP Attivo Alim'!I144-'Alimentazione SP P'!I100</f>
        <v>522907</v>
      </c>
      <c r="E174" s="648">
        <f>+'SP Attivo Alim'!J142+'SP Attivo Alim'!J143+'SP Attivo Alim'!J144-'Alimentazione SP P'!J100</f>
        <v>693322</v>
      </c>
      <c r="F174" s="678"/>
      <c r="G174" s="679"/>
      <c r="J174" s="634"/>
      <c r="K174" s="633"/>
    </row>
    <row r="175" spans="1:11" s="650" customFormat="1" ht="24.95" customHeight="1">
      <c r="A175" s="675" t="s">
        <v>1530</v>
      </c>
      <c r="B175" s="664" t="s">
        <v>3997</v>
      </c>
      <c r="C175" s="113" t="s">
        <v>3998</v>
      </c>
      <c r="D175" s="648">
        <f>+'SP Attivo Alim'!I145</f>
        <v>0</v>
      </c>
      <c r="E175" s="648">
        <f>+'SP Attivo Alim'!J145</f>
        <v>0</v>
      </c>
      <c r="F175" s="678"/>
      <c r="G175" s="679"/>
      <c r="J175" s="634"/>
      <c r="K175" s="633"/>
    </row>
    <row r="176" spans="1:11" s="650" customFormat="1" ht="24.95" customHeight="1">
      <c r="A176" s="651"/>
      <c r="B176" s="641" t="s">
        <v>3999</v>
      </c>
      <c r="C176" s="642" t="s">
        <v>4000</v>
      </c>
      <c r="D176" s="643">
        <f>+D177+D178+D179</f>
        <v>0</v>
      </c>
      <c r="E176" s="643">
        <f>+E177+E178+E179</f>
        <v>0</v>
      </c>
      <c r="F176" s="631"/>
      <c r="G176" s="649"/>
      <c r="J176" s="634"/>
      <c r="K176" s="633"/>
    </row>
    <row r="177" spans="1:11" s="650" customFormat="1" ht="24.95" customHeight="1">
      <c r="A177" s="645"/>
      <c r="B177" s="646" t="s">
        <v>4001</v>
      </c>
      <c r="C177" s="647" t="s">
        <v>4002</v>
      </c>
      <c r="D177" s="648">
        <f>+'SP Attivo Alim'!I147-'Alimentazione SP P'!I101</f>
        <v>0</v>
      </c>
      <c r="E177" s="648">
        <f>+'SP Attivo Alim'!J147-'Alimentazione SP P'!J101</f>
        <v>0</v>
      </c>
      <c r="F177" s="631"/>
      <c r="G177" s="649"/>
      <c r="J177" s="634"/>
      <c r="K177" s="633"/>
    </row>
    <row r="178" spans="1:11" s="650" customFormat="1" ht="24.95" customHeight="1">
      <c r="A178" s="645"/>
      <c r="B178" s="646" t="s">
        <v>4003</v>
      </c>
      <c r="C178" s="647" t="s">
        <v>4004</v>
      </c>
      <c r="D178" s="648">
        <f>+'SP Attivo Alim'!I148-'Alimentazione SP P'!I102</f>
        <v>0</v>
      </c>
      <c r="E178" s="648">
        <f>+'SP Attivo Alim'!J148-'Alimentazione SP P'!J102</f>
        <v>0</v>
      </c>
      <c r="F178" s="631"/>
      <c r="G178" s="649"/>
      <c r="J178" s="634"/>
      <c r="K178" s="633"/>
    </row>
    <row r="179" spans="1:11" s="650" customFormat="1" ht="24.95" customHeight="1">
      <c r="A179" s="645"/>
      <c r="B179" s="646" t="s">
        <v>4005</v>
      </c>
      <c r="C179" s="647" t="s">
        <v>4006</v>
      </c>
      <c r="D179" s="648">
        <f>+'SP Attivo Alim'!I150+'SP Attivo Alim'!I151+'SP Attivo Alim'!I152-'Alimentazione SP P'!I103</f>
        <v>0</v>
      </c>
      <c r="E179" s="648">
        <f>+'SP Attivo Alim'!J150+'SP Attivo Alim'!J151+'SP Attivo Alim'!J152-'Alimentazione SP P'!J103</f>
        <v>0</v>
      </c>
      <c r="F179" s="631"/>
      <c r="G179" s="649"/>
      <c r="J179" s="634"/>
      <c r="K179" s="633"/>
    </row>
    <row r="180" spans="1:11" s="650" customFormat="1" ht="24.95" customHeight="1">
      <c r="A180" s="645"/>
      <c r="B180" s="652" t="s">
        <v>4007</v>
      </c>
      <c r="C180" s="653" t="s">
        <v>4008</v>
      </c>
      <c r="D180" s="648">
        <f>+'SP Attivo Alim'!I154+'SP Attivo Alim'!I155+'SP Attivo Alim'!I156+'SP Attivo Alim'!I157+'SP Attivo Alim'!I158+'SP Attivo Alim'!I159-'Alimentazione SP P'!I104</f>
        <v>0</v>
      </c>
      <c r="E180" s="648">
        <f>+'SP Attivo Alim'!J154+'SP Attivo Alim'!J155+'SP Attivo Alim'!J156+'SP Attivo Alim'!J157+'SP Attivo Alim'!J158+'SP Attivo Alim'!J159-'Alimentazione SP P'!J104</f>
        <v>0</v>
      </c>
      <c r="F180" s="631"/>
      <c r="G180" s="649"/>
      <c r="J180" s="634"/>
      <c r="K180" s="633"/>
    </row>
    <row r="181" spans="1:11" s="650" customFormat="1" ht="24.95" customHeight="1">
      <c r="A181" s="651"/>
      <c r="B181" s="641" t="s">
        <v>4009</v>
      </c>
      <c r="C181" s="642" t="s">
        <v>4010</v>
      </c>
      <c r="D181" s="643">
        <f>+D182+D183+D184+D185+D186+D189</f>
        <v>1537770</v>
      </c>
      <c r="E181" s="643">
        <f>+E182+E183+E184+E185+E186+E189</f>
        <v>3504807</v>
      </c>
      <c r="F181" s="631"/>
      <c r="G181" s="649"/>
      <c r="J181" s="634"/>
      <c r="K181" s="633"/>
    </row>
    <row r="182" spans="1:11" s="650" customFormat="1" ht="24.95" customHeight="1">
      <c r="A182" s="645"/>
      <c r="B182" s="646" t="s">
        <v>4011</v>
      </c>
      <c r="C182" s="647" t="s">
        <v>4012</v>
      </c>
      <c r="D182" s="648">
        <f>+'SP Attivo Alim'!I162+'SP Attivo Alim'!I163+'SP Attivo Alim'!I164+'SP Attivo Alim'!I165+'SP Attivo Alim'!I166-'Alimentazione SP P'!I105</f>
        <v>999785</v>
      </c>
      <c r="E182" s="648">
        <f>+'SP Attivo Alim'!J162+'SP Attivo Alim'!J163+'SP Attivo Alim'!J164+'SP Attivo Alim'!J165+'SP Attivo Alim'!J166-'Alimentazione SP P'!J105</f>
        <v>962020</v>
      </c>
      <c r="F182" s="631"/>
      <c r="G182" s="649"/>
      <c r="J182" s="634"/>
      <c r="K182" s="633"/>
    </row>
    <row r="183" spans="1:11" s="650" customFormat="1" ht="24.95" customHeight="1">
      <c r="A183" s="645"/>
      <c r="B183" s="646" t="s">
        <v>4013</v>
      </c>
      <c r="C183" s="647" t="s">
        <v>4014</v>
      </c>
      <c r="D183" s="648">
        <f>+'SP Attivo Alim'!I167-'Alimentazione SP P'!I106</f>
        <v>0</v>
      </c>
      <c r="E183" s="648">
        <f>+'SP Attivo Alim'!J167-'Alimentazione SP P'!J106</f>
        <v>0</v>
      </c>
      <c r="F183" s="631"/>
      <c r="G183" s="649"/>
      <c r="J183" s="634"/>
      <c r="K183" s="633"/>
    </row>
    <row r="184" spans="1:11" s="650" customFormat="1" ht="24.95" customHeight="1">
      <c r="A184" s="645"/>
      <c r="B184" s="646" t="s">
        <v>4015</v>
      </c>
      <c r="C184" s="647" t="s">
        <v>4016</v>
      </c>
      <c r="D184" s="648">
        <f>+'SP Attivo Alim'!I169+'SP Attivo Alim'!I170+'SP Attivo Alim'!I171+'SP Attivo Alim'!I172-'Alimentazione SP P'!I107</f>
        <v>343938</v>
      </c>
      <c r="E184" s="648">
        <f>+'SP Attivo Alim'!J169+'SP Attivo Alim'!J170+'SP Attivo Alim'!J171+'SP Attivo Alim'!J172-'Alimentazione SP P'!J107</f>
        <v>585765</v>
      </c>
      <c r="F184" s="631"/>
      <c r="G184" s="649"/>
      <c r="J184" s="634"/>
      <c r="K184" s="633"/>
    </row>
    <row r="185" spans="1:11" s="650" customFormat="1" ht="24.95" customHeight="1">
      <c r="A185" s="645"/>
      <c r="B185" s="646" t="s">
        <v>4017</v>
      </c>
      <c r="C185" s="647" t="s">
        <v>4018</v>
      </c>
      <c r="D185" s="648">
        <f>+'SP Attivo Alim'!I173-'Alimentazione SP P'!I108</f>
        <v>0</v>
      </c>
      <c r="E185" s="648">
        <f>+'SP Attivo Alim'!J173-'Alimentazione SP P'!J108</f>
        <v>0</v>
      </c>
      <c r="F185" s="631"/>
      <c r="G185" s="649"/>
      <c r="J185" s="634"/>
      <c r="K185" s="633"/>
    </row>
    <row r="186" spans="1:11" s="650" customFormat="1" ht="24.95" customHeight="1">
      <c r="A186" s="670"/>
      <c r="B186" s="671" t="s">
        <v>4019</v>
      </c>
      <c r="C186" s="672" t="s">
        <v>4020</v>
      </c>
      <c r="D186" s="673">
        <f>+D187+D188</f>
        <v>194047</v>
      </c>
      <c r="E186" s="673">
        <f>+E187+E188</f>
        <v>1957022</v>
      </c>
      <c r="F186" s="631"/>
      <c r="G186" s="649"/>
      <c r="J186" s="634"/>
      <c r="K186" s="633"/>
    </row>
    <row r="187" spans="1:11" s="650" customFormat="1" ht="24.95" customHeight="1">
      <c r="A187" s="654"/>
      <c r="B187" s="684" t="s">
        <v>4021</v>
      </c>
      <c r="C187" s="685" t="s">
        <v>4022</v>
      </c>
      <c r="D187" s="648">
        <f>+'SP Attivo Alim'!I177+'SP Attivo Alim'!I178+'SP Attivo Alim'!I179+'SP Attivo Alim'!I180+'SP Attivo Alim'!I181+'SP Attivo Alim'!I182-'Alimentazione SP P'!I109</f>
        <v>194047</v>
      </c>
      <c r="E187" s="648">
        <f>+'SP Attivo Alim'!J177+'SP Attivo Alim'!J178+'SP Attivo Alim'!J179+'SP Attivo Alim'!J180+'SP Attivo Alim'!J181+'SP Attivo Alim'!J182-'Alimentazione SP P'!J109</f>
        <v>1957022</v>
      </c>
      <c r="F187" s="631"/>
      <c r="G187" s="649"/>
      <c r="J187" s="634"/>
      <c r="K187" s="633"/>
    </row>
    <row r="188" spans="1:11" s="650" customFormat="1" ht="24.95" customHeight="1">
      <c r="A188" s="645"/>
      <c r="B188" s="686" t="s">
        <v>4023</v>
      </c>
      <c r="C188" s="687" t="s">
        <v>4024</v>
      </c>
      <c r="D188" s="648">
        <f>+'SP Attivo Alim'!I183</f>
        <v>0</v>
      </c>
      <c r="E188" s="648">
        <f>+'SP Attivo Alim'!J183</f>
        <v>0</v>
      </c>
      <c r="F188" s="631"/>
      <c r="G188" s="649"/>
      <c r="J188" s="634"/>
      <c r="K188" s="633"/>
    </row>
    <row r="189" spans="1:11" s="650" customFormat="1" ht="24.95" customHeight="1">
      <c r="A189" s="670"/>
      <c r="B189" s="688" t="s">
        <v>4025</v>
      </c>
      <c r="C189" s="689" t="s">
        <v>4026</v>
      </c>
      <c r="D189" s="673">
        <f>+D190+D191</f>
        <v>0</v>
      </c>
      <c r="E189" s="673">
        <f>+E190+E191</f>
        <v>0</v>
      </c>
      <c r="F189" s="631"/>
      <c r="G189" s="649"/>
      <c r="J189" s="634"/>
      <c r="K189" s="633"/>
    </row>
    <row r="190" spans="1:11" s="650" customFormat="1" ht="24.95" customHeight="1">
      <c r="A190" s="654"/>
      <c r="B190" s="684" t="s">
        <v>4027</v>
      </c>
      <c r="C190" s="687" t="s">
        <v>4028</v>
      </c>
      <c r="D190" s="648">
        <f>+'SP Attivo Alim'!I185-'Alimentazione SP P'!I110</f>
        <v>0</v>
      </c>
      <c r="E190" s="648">
        <f>+'SP Attivo Alim'!J185-'Alimentazione SP P'!J110</f>
        <v>0</v>
      </c>
      <c r="F190" s="631"/>
      <c r="G190" s="649"/>
      <c r="J190" s="634"/>
      <c r="K190" s="633"/>
    </row>
    <row r="191" spans="1:11" s="650" customFormat="1" ht="24.95" customHeight="1">
      <c r="A191" s="645"/>
      <c r="B191" s="684" t="s">
        <v>4029</v>
      </c>
      <c r="C191" s="687" t="s">
        <v>4030</v>
      </c>
      <c r="D191" s="648">
        <f>+'SP Attivo Alim'!I186</f>
        <v>0</v>
      </c>
      <c r="E191" s="648">
        <f>+'SP Attivo Alim'!J186</f>
        <v>0</v>
      </c>
      <c r="F191" s="631"/>
      <c r="G191" s="649"/>
      <c r="J191" s="634"/>
      <c r="K191" s="633"/>
    </row>
    <row r="192" spans="1:11" s="650" customFormat="1" ht="24.95" customHeight="1">
      <c r="A192" s="658"/>
      <c r="B192" s="690" t="s">
        <v>4031</v>
      </c>
      <c r="C192" s="691" t="s">
        <v>4032</v>
      </c>
      <c r="D192" s="692">
        <f>+D193+D194</f>
        <v>0</v>
      </c>
      <c r="E192" s="692">
        <f>+E193+E194</f>
        <v>0</v>
      </c>
      <c r="F192" s="631"/>
      <c r="G192" s="649"/>
      <c r="J192" s="634"/>
      <c r="K192" s="633"/>
    </row>
    <row r="193" spans="1:13" s="650" customFormat="1" ht="24.95" customHeight="1">
      <c r="A193" s="645"/>
      <c r="B193" s="652" t="s">
        <v>4033</v>
      </c>
      <c r="C193" s="653" t="s">
        <v>4034</v>
      </c>
      <c r="D193" s="648">
        <f>+'SP Attivo Alim'!I189+'SP Attivo Alim'!I190+'SP Attivo Alim'!I191</f>
        <v>0</v>
      </c>
      <c r="E193" s="648">
        <f>+'SP Attivo Alim'!J189+'SP Attivo Alim'!J190+'SP Attivo Alim'!J191</f>
        <v>0</v>
      </c>
      <c r="F193" s="631"/>
      <c r="G193" s="649"/>
      <c r="J193" s="634"/>
      <c r="K193" s="633"/>
    </row>
    <row r="194" spans="1:13" s="650" customFormat="1" ht="24.95" customHeight="1" thickBot="1">
      <c r="A194" s="655"/>
      <c r="B194" s="693" t="s">
        <v>4035</v>
      </c>
      <c r="C194" s="694" t="s">
        <v>4036</v>
      </c>
      <c r="D194" s="648">
        <f>+'SP Attivo Alim'!I192</f>
        <v>0</v>
      </c>
      <c r="E194" s="648">
        <f>+'SP Attivo Alim'!J192</f>
        <v>0</v>
      </c>
      <c r="F194" s="631"/>
      <c r="G194" s="649"/>
      <c r="J194" s="634"/>
      <c r="K194" s="633"/>
    </row>
    <row r="195" spans="1:13" s="650" customFormat="1" ht="24.95" customHeight="1">
      <c r="A195" s="658"/>
      <c r="B195" s="659" t="s">
        <v>4037</v>
      </c>
      <c r="C195" s="660" t="s">
        <v>4038</v>
      </c>
      <c r="D195" s="661">
        <f>+D196+D197+D198+D199</f>
        <v>38840195</v>
      </c>
      <c r="E195" s="661">
        <f>+E196+E197+E198+E199</f>
        <v>38999112</v>
      </c>
      <c r="F195" s="631"/>
      <c r="G195" s="649"/>
      <c r="J195" s="634"/>
      <c r="K195" s="633"/>
    </row>
    <row r="196" spans="1:13" s="650" customFormat="1" ht="24.95" customHeight="1">
      <c r="A196" s="645"/>
      <c r="B196" s="652" t="s">
        <v>4039</v>
      </c>
      <c r="C196" s="653" t="s">
        <v>4040</v>
      </c>
      <c r="D196" s="648">
        <f>+SUM('SP Attivo Alim'!I196:I213)</f>
        <v>44851</v>
      </c>
      <c r="E196" s="648">
        <f>+SUM('SP Attivo Alim'!J196:J213)</f>
        <v>42835</v>
      </c>
      <c r="F196" s="631"/>
      <c r="G196" s="649"/>
      <c r="J196" s="634"/>
      <c r="K196" s="633"/>
    </row>
    <row r="197" spans="1:13" s="650" customFormat="1" ht="24.95" customHeight="1">
      <c r="A197" s="645"/>
      <c r="B197" s="652" t="s">
        <v>4041</v>
      </c>
      <c r="C197" s="653" t="s">
        <v>4042</v>
      </c>
      <c r="D197" s="648">
        <f>+'SP Attivo Alim'!I215+'SP Attivo Alim'!I216+'SP Attivo Alim'!I217</f>
        <v>38793885</v>
      </c>
      <c r="E197" s="648">
        <f>+'SP Attivo Alim'!J215+'SP Attivo Alim'!J216+'SP Attivo Alim'!J217</f>
        <v>38955437</v>
      </c>
      <c r="F197" s="631"/>
      <c r="G197" s="649"/>
      <c r="J197" s="634"/>
      <c r="K197" s="633"/>
    </row>
    <row r="198" spans="1:13" s="650" customFormat="1" ht="24.95" customHeight="1">
      <c r="A198" s="645"/>
      <c r="B198" s="652" t="s">
        <v>4043</v>
      </c>
      <c r="C198" s="653" t="s">
        <v>4044</v>
      </c>
      <c r="D198" s="648">
        <f>+'SP Attivo Alim'!I218</f>
        <v>0</v>
      </c>
      <c r="E198" s="648">
        <f>+'SP Attivo Alim'!J218</f>
        <v>0</v>
      </c>
      <c r="F198" s="631"/>
      <c r="G198" s="649"/>
      <c r="J198" s="634"/>
      <c r="K198" s="633"/>
    </row>
    <row r="199" spans="1:13" s="650" customFormat="1" ht="24.95" customHeight="1" thickBot="1">
      <c r="A199" s="655"/>
      <c r="B199" s="693" t="s">
        <v>4045</v>
      </c>
      <c r="C199" s="694" t="s">
        <v>4046</v>
      </c>
      <c r="D199" s="648">
        <f>+SUM('SP Attivo Alim'!I220:I226)</f>
        <v>1459</v>
      </c>
      <c r="E199" s="648">
        <f>+SUM('SP Attivo Alim'!J220:J226)</f>
        <v>840</v>
      </c>
      <c r="F199" s="631"/>
      <c r="G199" s="649"/>
      <c r="J199" s="634"/>
      <c r="K199" s="633"/>
    </row>
    <row r="200" spans="1:13" s="650" customFormat="1" ht="24.95" customHeight="1">
      <c r="A200" s="627"/>
      <c r="B200" s="628" t="s">
        <v>4047</v>
      </c>
      <c r="C200" s="629" t="s">
        <v>4048</v>
      </c>
      <c r="D200" s="662">
        <f>+D201+D204</f>
        <v>47172</v>
      </c>
      <c r="E200" s="662">
        <f>+E201+E204</f>
        <v>34766</v>
      </c>
      <c r="F200" s="631"/>
      <c r="G200" s="649"/>
      <c r="J200" s="634"/>
      <c r="K200" s="633"/>
    </row>
    <row r="201" spans="1:13" s="650" customFormat="1" ht="24.95" customHeight="1">
      <c r="A201" s="635"/>
      <c r="B201" s="636" t="s">
        <v>4049</v>
      </c>
      <c r="C201" s="637" t="s">
        <v>4050</v>
      </c>
      <c r="D201" s="638">
        <f>+D202+D203</f>
        <v>19280</v>
      </c>
      <c r="E201" s="638">
        <f>+E202+E203</f>
        <v>4128</v>
      </c>
      <c r="F201" s="631"/>
      <c r="G201" s="649"/>
      <c r="J201" s="634"/>
      <c r="K201" s="633"/>
    </row>
    <row r="202" spans="1:13" s="650" customFormat="1" ht="24.95" customHeight="1">
      <c r="A202" s="645"/>
      <c r="B202" s="652" t="s">
        <v>4051</v>
      </c>
      <c r="C202" s="653" t="s">
        <v>4052</v>
      </c>
      <c r="D202" s="648">
        <f>+'SP Attivo Alim'!I242</f>
        <v>0</v>
      </c>
      <c r="E202" s="648">
        <f>+'SP Attivo Alim'!J242</f>
        <v>665</v>
      </c>
      <c r="F202" s="631"/>
      <c r="G202" s="649"/>
      <c r="J202" s="634"/>
      <c r="K202" s="633"/>
    </row>
    <row r="203" spans="1:13" s="650" customFormat="1" ht="24.95" customHeight="1">
      <c r="A203" s="695" t="s">
        <v>1530</v>
      </c>
      <c r="B203" s="652" t="s">
        <v>4053</v>
      </c>
      <c r="C203" s="653" t="s">
        <v>4054</v>
      </c>
      <c r="D203" s="648">
        <f>+'SP Attivo Alim'!I243</f>
        <v>19280</v>
      </c>
      <c r="E203" s="648">
        <f>+'SP Attivo Alim'!J243</f>
        <v>3463</v>
      </c>
      <c r="F203" s="631"/>
      <c r="G203" s="649"/>
      <c r="J203" s="634"/>
      <c r="K203" s="633"/>
    </row>
    <row r="204" spans="1:13" s="650" customFormat="1" ht="24.95" customHeight="1">
      <c r="A204" s="635"/>
      <c r="B204" s="636" t="s">
        <v>4055</v>
      </c>
      <c r="C204" s="637" t="s">
        <v>4056</v>
      </c>
      <c r="D204" s="638">
        <f>+D205+D206</f>
        <v>27892</v>
      </c>
      <c r="E204" s="638">
        <f>+E205+E206</f>
        <v>30638</v>
      </c>
      <c r="F204" s="631"/>
      <c r="G204" s="649"/>
      <c r="J204" s="634"/>
      <c r="K204" s="633"/>
    </row>
    <row r="205" spans="1:13" s="650" customFormat="1" ht="24.95" customHeight="1">
      <c r="A205" s="645"/>
      <c r="B205" s="652" t="s">
        <v>4057</v>
      </c>
      <c r="C205" s="653" t="s">
        <v>4058</v>
      </c>
      <c r="D205" s="648">
        <f>+'SP Attivo Alim'!I245</f>
        <v>27892</v>
      </c>
      <c r="E205" s="648">
        <f>+'SP Attivo Alim'!J245</f>
        <v>30638</v>
      </c>
      <c r="F205" s="631"/>
      <c r="G205" s="649"/>
      <c r="J205" s="634"/>
      <c r="K205" s="633"/>
    </row>
    <row r="206" spans="1:13" s="650" customFormat="1" ht="24.95" customHeight="1" thickBot="1">
      <c r="A206" s="696" t="s">
        <v>1530</v>
      </c>
      <c r="B206" s="693" t="s">
        <v>4059</v>
      </c>
      <c r="C206" s="694" t="s">
        <v>4060</v>
      </c>
      <c r="D206" s="648">
        <f>+'SP Attivo Alim'!I246</f>
        <v>0</v>
      </c>
      <c r="E206" s="648">
        <f>+'SP Attivo Alim'!J246</f>
        <v>0</v>
      </c>
      <c r="F206" s="631"/>
      <c r="G206" s="649"/>
      <c r="J206" s="634"/>
      <c r="K206" s="633"/>
    </row>
    <row r="207" spans="1:13" s="650" customFormat="1" ht="24.95" customHeight="1" thickBot="1">
      <c r="A207" s="697"/>
      <c r="B207" s="698" t="s">
        <v>4061</v>
      </c>
      <c r="C207" s="699" t="s">
        <v>4062</v>
      </c>
      <c r="D207" s="700">
        <f>+D30+D108+D200</f>
        <v>113493994</v>
      </c>
      <c r="E207" s="700">
        <f>+E30+E108+E200</f>
        <v>111563634</v>
      </c>
      <c r="F207" s="631"/>
      <c r="G207" s="649"/>
      <c r="J207" s="634"/>
      <c r="K207" s="633"/>
      <c r="M207" s="929">
        <f>+E207-E340</f>
        <v>0</v>
      </c>
    </row>
    <row r="208" spans="1:13" s="650" customFormat="1" ht="24.95" customHeight="1">
      <c r="A208" s="701"/>
      <c r="B208" s="628" t="s">
        <v>4063</v>
      </c>
      <c r="C208" s="702" t="s">
        <v>4064</v>
      </c>
      <c r="D208" s="703">
        <f>+D209+D210+D211+D212+D213</f>
        <v>2806963</v>
      </c>
      <c r="E208" s="703">
        <f>+E209+E210+E211+E212+E213</f>
        <v>2898397</v>
      </c>
      <c r="F208" s="631"/>
      <c r="G208" s="649"/>
      <c r="J208" s="634"/>
      <c r="K208" s="633"/>
    </row>
    <row r="209" spans="1:11" s="650" customFormat="1" ht="24.95" customHeight="1">
      <c r="A209" s="645"/>
      <c r="B209" s="704" t="s">
        <v>4065</v>
      </c>
      <c r="C209" s="705" t="s">
        <v>4066</v>
      </c>
      <c r="D209" s="648">
        <f>+'SP Attivo Alim'!I249</f>
        <v>66479</v>
      </c>
      <c r="E209" s="648">
        <f>+'SP Attivo Alim'!J249</f>
        <v>116759</v>
      </c>
      <c r="F209" s="631"/>
      <c r="G209" s="649"/>
      <c r="J209" s="634"/>
      <c r="K209" s="633"/>
    </row>
    <row r="210" spans="1:11" s="650" customFormat="1" ht="24.95" customHeight="1">
      <c r="A210" s="645"/>
      <c r="B210" s="704" t="s">
        <v>4067</v>
      </c>
      <c r="C210" s="705" t="s">
        <v>4068</v>
      </c>
      <c r="D210" s="648">
        <f>+'SP Attivo Alim'!I250</f>
        <v>0</v>
      </c>
      <c r="E210" s="648">
        <f>+'SP Attivo Alim'!J250</f>
        <v>0</v>
      </c>
      <c r="F210" s="631"/>
      <c r="G210" s="649"/>
      <c r="J210" s="634"/>
      <c r="K210" s="633"/>
    </row>
    <row r="211" spans="1:11" s="650" customFormat="1" ht="24.95" customHeight="1">
      <c r="A211" s="645"/>
      <c r="B211" s="704" t="s">
        <v>4069</v>
      </c>
      <c r="C211" s="705" t="s">
        <v>4070</v>
      </c>
      <c r="D211" s="648">
        <f>+'SP Attivo Alim'!I251</f>
        <v>1463350</v>
      </c>
      <c r="E211" s="648">
        <f>+'SP Attivo Alim'!J251</f>
        <v>0</v>
      </c>
      <c r="F211" s="631"/>
      <c r="G211" s="649"/>
      <c r="J211" s="634"/>
      <c r="K211" s="633"/>
    </row>
    <row r="212" spans="1:11" s="650" customFormat="1" ht="24.95" customHeight="1">
      <c r="A212" s="706"/>
      <c r="B212" s="704" t="s">
        <v>4071</v>
      </c>
      <c r="C212" s="705" t="s">
        <v>4072</v>
      </c>
      <c r="D212" s="648">
        <f>+'SP Attivo Alim'!I252</f>
        <v>0</v>
      </c>
      <c r="E212" s="648">
        <f>+'SP Attivo Alim'!J252</f>
        <v>0</v>
      </c>
      <c r="F212" s="631"/>
      <c r="G212" s="649"/>
      <c r="J212" s="634"/>
      <c r="K212" s="633"/>
    </row>
    <row r="213" spans="1:11" s="650" customFormat="1" ht="24.95" customHeight="1" thickBot="1">
      <c r="A213" s="655"/>
      <c r="B213" s="707" t="s">
        <v>4073</v>
      </c>
      <c r="C213" s="708" t="s">
        <v>4074</v>
      </c>
      <c r="D213" s="648">
        <f>+'SP Attivo Alim'!I254+'SP Attivo Alim'!I255+'SP Attivo Alim'!I256+'SP Attivo Alim'!I257+'SP Attivo Alim'!I258+'SP Attivo Alim'!I259+'SP Attivo Alim'!I260</f>
        <v>1277134</v>
      </c>
      <c r="E213" s="648">
        <f>+'SP Attivo Alim'!J254+'SP Attivo Alim'!J255+'SP Attivo Alim'!J256+'SP Attivo Alim'!J257+'SP Attivo Alim'!J258+'SP Attivo Alim'!J259+'SP Attivo Alim'!J260</f>
        <v>2781638</v>
      </c>
      <c r="F213" s="631"/>
      <c r="G213" s="649"/>
      <c r="J213" s="634"/>
      <c r="K213" s="633"/>
    </row>
    <row r="214" spans="1:11" s="650" customFormat="1" ht="24.95" customHeight="1">
      <c r="A214" s="701"/>
      <c r="B214" s="628" t="s">
        <v>4075</v>
      </c>
      <c r="C214" s="629" t="s">
        <v>4076</v>
      </c>
      <c r="D214" s="662">
        <f>+D215+D216+D225+D226+D232+D236+D237</f>
        <v>63320799</v>
      </c>
      <c r="E214" s="662">
        <f>+E215+E216+E225+E226+E232+E236+E237</f>
        <v>57993790</v>
      </c>
      <c r="F214" s="631"/>
      <c r="G214" s="649"/>
      <c r="J214" s="634"/>
      <c r="K214" s="633"/>
    </row>
    <row r="215" spans="1:11" s="650" customFormat="1" ht="24.95" customHeight="1">
      <c r="A215" s="645"/>
      <c r="B215" s="709" t="s">
        <v>4077</v>
      </c>
      <c r="C215" s="710" t="s">
        <v>4078</v>
      </c>
      <c r="D215" s="648">
        <f>+'Alimentazione SP P'!I4</f>
        <v>308581</v>
      </c>
      <c r="E215" s="648">
        <f>+'Alimentazione SP P'!J4</f>
        <v>269581</v>
      </c>
      <c r="F215" s="631"/>
      <c r="G215" s="649"/>
      <c r="J215" s="634"/>
      <c r="K215" s="633"/>
    </row>
    <row r="216" spans="1:11" s="650" customFormat="1" ht="24.95" customHeight="1">
      <c r="A216" s="635"/>
      <c r="B216" s="636" t="s">
        <v>4079</v>
      </c>
      <c r="C216" s="637" t="s">
        <v>4080</v>
      </c>
      <c r="D216" s="638">
        <f>+D217+D218+D222+D223+D224</f>
        <v>55126656</v>
      </c>
      <c r="E216" s="638">
        <f>+E217+E218+E222+E223+E224</f>
        <v>52280717</v>
      </c>
      <c r="F216" s="631"/>
      <c r="G216" s="649"/>
      <c r="J216" s="634"/>
      <c r="K216" s="633"/>
    </row>
    <row r="217" spans="1:11" s="650" customFormat="1" ht="24.95" customHeight="1">
      <c r="A217" s="645"/>
      <c r="B217" s="652" t="s">
        <v>4081</v>
      </c>
      <c r="C217" s="653" t="s">
        <v>4082</v>
      </c>
      <c r="D217" s="648">
        <f>+'Alimentazione SP P'!I6</f>
        <v>2748992</v>
      </c>
      <c r="E217" s="648">
        <f>+'Alimentazione SP P'!J6</f>
        <v>2931371</v>
      </c>
      <c r="F217" s="631"/>
      <c r="G217" s="649"/>
      <c r="J217" s="634"/>
      <c r="K217" s="633"/>
    </row>
    <row r="218" spans="1:11" s="650" customFormat="1" ht="24.95" customHeight="1">
      <c r="A218" s="651"/>
      <c r="B218" s="641" t="s">
        <v>4083</v>
      </c>
      <c r="C218" s="642" t="s">
        <v>4084</v>
      </c>
      <c r="D218" s="643">
        <f>+D219+D220+D221</f>
        <v>22727917</v>
      </c>
      <c r="E218" s="643">
        <f>+E219+E220+E221</f>
        <v>22476784</v>
      </c>
      <c r="F218" s="631"/>
      <c r="G218" s="649"/>
      <c r="J218" s="634"/>
      <c r="K218" s="633"/>
    </row>
    <row r="219" spans="1:11" s="650" customFormat="1" ht="24.95" customHeight="1">
      <c r="A219" s="645"/>
      <c r="B219" s="646" t="s">
        <v>4085</v>
      </c>
      <c r="C219" s="647" t="s">
        <v>4086</v>
      </c>
      <c r="D219" s="648">
        <f>+'Alimentazione SP P'!I8</f>
        <v>15013895</v>
      </c>
      <c r="E219" s="648">
        <f>+'Alimentazione SP P'!J8</f>
        <v>15039145</v>
      </c>
      <c r="F219" s="631"/>
      <c r="G219" s="649"/>
      <c r="J219" s="634"/>
      <c r="K219" s="633"/>
    </row>
    <row r="220" spans="1:11" s="650" customFormat="1" ht="24.95" customHeight="1">
      <c r="A220" s="645"/>
      <c r="B220" s="646" t="s">
        <v>4087</v>
      </c>
      <c r="C220" s="647" t="s">
        <v>4088</v>
      </c>
      <c r="D220" s="648">
        <f>+'Alimentazione SP P'!I9</f>
        <v>958921</v>
      </c>
      <c r="E220" s="648">
        <f>+'Alimentazione SP P'!J9</f>
        <v>539204</v>
      </c>
      <c r="F220" s="631"/>
      <c r="G220" s="649"/>
      <c r="J220" s="634"/>
      <c r="K220" s="633"/>
    </row>
    <row r="221" spans="1:11" s="650" customFormat="1" ht="24.95" customHeight="1">
      <c r="A221" s="645"/>
      <c r="B221" s="646" t="s">
        <v>4089</v>
      </c>
      <c r="C221" s="647" t="s">
        <v>4090</v>
      </c>
      <c r="D221" s="648">
        <f>+'Alimentazione SP P'!I10</f>
        <v>6755101</v>
      </c>
      <c r="E221" s="648">
        <f>+'Alimentazione SP P'!J10</f>
        <v>6898435</v>
      </c>
      <c r="F221" s="631"/>
      <c r="G221" s="649"/>
      <c r="J221" s="634"/>
      <c r="K221" s="633"/>
    </row>
    <row r="222" spans="1:11" s="650" customFormat="1" ht="24.95" customHeight="1">
      <c r="A222" s="645"/>
      <c r="B222" s="652" t="s">
        <v>4091</v>
      </c>
      <c r="C222" s="653" t="s">
        <v>4092</v>
      </c>
      <c r="D222" s="648">
        <f>+'Alimentazione SP P'!I12+'Alimentazione SP P'!I13</f>
        <v>29508985</v>
      </c>
      <c r="E222" s="648">
        <f>+'Alimentazione SP P'!J12+'Alimentazione SP P'!J13</f>
        <v>26779353</v>
      </c>
      <c r="F222" s="631"/>
      <c r="G222" s="649"/>
      <c r="J222" s="634"/>
      <c r="K222" s="633"/>
    </row>
    <row r="223" spans="1:11" s="650" customFormat="1" ht="24.95" customHeight="1">
      <c r="A223" s="645"/>
      <c r="B223" s="652" t="s">
        <v>4093</v>
      </c>
      <c r="C223" s="653" t="s">
        <v>4094</v>
      </c>
      <c r="D223" s="648">
        <f>+'Alimentazione SP P'!I15+'Alimentazione SP P'!I16</f>
        <v>28336</v>
      </c>
      <c r="E223" s="648">
        <f>+'Alimentazione SP P'!J15+'Alimentazione SP P'!J16</f>
        <v>9172</v>
      </c>
      <c r="F223" s="631"/>
      <c r="G223" s="649"/>
      <c r="J223" s="634"/>
      <c r="K223" s="633"/>
    </row>
    <row r="224" spans="1:11" s="650" customFormat="1" ht="24.95" customHeight="1">
      <c r="A224" s="645"/>
      <c r="B224" s="652" t="s">
        <v>4095</v>
      </c>
      <c r="C224" s="653" t="s">
        <v>4096</v>
      </c>
      <c r="D224" s="648">
        <f>+'Alimentazione SP P'!I17</f>
        <v>112426</v>
      </c>
      <c r="E224" s="648">
        <f>+'Alimentazione SP P'!J17</f>
        <v>84037</v>
      </c>
      <c r="F224" s="631"/>
      <c r="G224" s="649"/>
      <c r="J224" s="634"/>
      <c r="K224" s="633"/>
    </row>
    <row r="225" spans="1:11" s="650" customFormat="1" ht="24.95" customHeight="1">
      <c r="A225" s="645"/>
      <c r="B225" s="709" t="s">
        <v>4097</v>
      </c>
      <c r="C225" s="710" t="s">
        <v>4098</v>
      </c>
      <c r="D225" s="648">
        <f>+'Alimentazione SP P'!I18</f>
        <v>4941979</v>
      </c>
      <c r="E225" s="648">
        <f>+'Alimentazione SP P'!J18</f>
        <v>2190789</v>
      </c>
      <c r="F225" s="631"/>
      <c r="G225" s="649"/>
      <c r="J225" s="634"/>
      <c r="K225" s="633"/>
    </row>
    <row r="226" spans="1:11" s="650" customFormat="1" ht="24.95" customHeight="1">
      <c r="A226" s="635"/>
      <c r="B226" s="636" t="s">
        <v>4099</v>
      </c>
      <c r="C226" s="637" t="s">
        <v>4100</v>
      </c>
      <c r="D226" s="638">
        <f>+D227+D228+D229+D230+D231</f>
        <v>2927983</v>
      </c>
      <c r="E226" s="638">
        <f>+E227+E228+E229+E230+E231</f>
        <v>3105587</v>
      </c>
      <c r="F226" s="631"/>
      <c r="G226" s="649"/>
      <c r="J226" s="634"/>
      <c r="K226" s="633"/>
    </row>
    <row r="227" spans="1:11" s="650" customFormat="1" ht="24.95" customHeight="1">
      <c r="A227" s="645"/>
      <c r="B227" s="652" t="s">
        <v>4101</v>
      </c>
      <c r="C227" s="653" t="s">
        <v>4102</v>
      </c>
      <c r="D227" s="648">
        <f>+'Alimentazione SP P'!I20</f>
        <v>0</v>
      </c>
      <c r="E227" s="648">
        <f>+'Alimentazione SP P'!J20</f>
        <v>0</v>
      </c>
      <c r="F227" s="631"/>
      <c r="G227" s="649"/>
      <c r="J227" s="634"/>
      <c r="K227" s="633"/>
    </row>
    <row r="228" spans="1:11" s="650" customFormat="1" ht="24.95" customHeight="1">
      <c r="A228" s="645"/>
      <c r="B228" s="652" t="s">
        <v>4103</v>
      </c>
      <c r="C228" s="653" t="s">
        <v>4104</v>
      </c>
      <c r="D228" s="648">
        <f>+'Alimentazione SP P'!I21</f>
        <v>654168</v>
      </c>
      <c r="E228" s="648">
        <f>+'Alimentazione SP P'!J21</f>
        <v>667664</v>
      </c>
      <c r="F228" s="631"/>
      <c r="G228" s="649"/>
      <c r="J228" s="634"/>
      <c r="K228" s="633"/>
    </row>
    <row r="229" spans="1:11" s="650" customFormat="1" ht="24.95" customHeight="1">
      <c r="A229" s="645"/>
      <c r="B229" s="652" t="s">
        <v>4105</v>
      </c>
      <c r="C229" s="653" t="s">
        <v>4106</v>
      </c>
      <c r="D229" s="648">
        <f>+'Alimentazione SP P'!I22</f>
        <v>366049</v>
      </c>
      <c r="E229" s="648">
        <f>+'Alimentazione SP P'!J22</f>
        <v>367675</v>
      </c>
      <c r="F229" s="631"/>
      <c r="G229" s="649"/>
      <c r="J229" s="634"/>
      <c r="K229" s="633"/>
    </row>
    <row r="230" spans="1:11" s="650" customFormat="1" ht="24.95" customHeight="1">
      <c r="A230" s="645"/>
      <c r="B230" s="652" t="s">
        <v>4107</v>
      </c>
      <c r="C230" s="653" t="s">
        <v>4108</v>
      </c>
      <c r="D230" s="648">
        <f>+'Alimentazione SP P'!I23</f>
        <v>193503</v>
      </c>
      <c r="E230" s="648">
        <f>+'Alimentazione SP P'!J23</f>
        <v>85387</v>
      </c>
      <c r="F230" s="631"/>
      <c r="G230" s="649"/>
      <c r="J230" s="634"/>
      <c r="K230" s="633"/>
    </row>
    <row r="231" spans="1:11" s="650" customFormat="1" ht="24.95" customHeight="1">
      <c r="A231" s="645"/>
      <c r="B231" s="652" t="s">
        <v>4109</v>
      </c>
      <c r="C231" s="653" t="s">
        <v>4110</v>
      </c>
      <c r="D231" s="648">
        <f>+'Alimentazione SP P'!I24</f>
        <v>1714263</v>
      </c>
      <c r="E231" s="648">
        <f>+'Alimentazione SP P'!J24</f>
        <v>1984861</v>
      </c>
      <c r="F231" s="631"/>
      <c r="G231" s="649"/>
      <c r="J231" s="634"/>
      <c r="K231" s="633"/>
    </row>
    <row r="232" spans="1:11" s="650" customFormat="1" ht="24.95" customHeight="1">
      <c r="A232" s="635"/>
      <c r="B232" s="636" t="s">
        <v>4111</v>
      </c>
      <c r="C232" s="637" t="s">
        <v>4112</v>
      </c>
      <c r="D232" s="638">
        <f>+D233+D234+D235</f>
        <v>0</v>
      </c>
      <c r="E232" s="638">
        <f>+E233+E234+E235</f>
        <v>0</v>
      </c>
      <c r="F232" s="631"/>
      <c r="G232" s="649"/>
      <c r="J232" s="634"/>
      <c r="K232" s="633"/>
    </row>
    <row r="233" spans="1:11" s="650" customFormat="1" ht="24.95" customHeight="1">
      <c r="A233" s="645"/>
      <c r="B233" s="652" t="s">
        <v>4113</v>
      </c>
      <c r="C233" s="653" t="s">
        <v>4114</v>
      </c>
      <c r="D233" s="648">
        <f>+'Alimentazione SP P'!I26</f>
        <v>0</v>
      </c>
      <c r="E233" s="648">
        <f>+'Alimentazione SP P'!J26</f>
        <v>0</v>
      </c>
      <c r="F233" s="631"/>
      <c r="G233" s="649"/>
      <c r="J233" s="634"/>
      <c r="K233" s="633"/>
    </row>
    <row r="234" spans="1:11" s="650" customFormat="1" ht="24.95" customHeight="1">
      <c r="A234" s="645"/>
      <c r="B234" s="652" t="s">
        <v>4115</v>
      </c>
      <c r="C234" s="653" t="s">
        <v>4116</v>
      </c>
      <c r="D234" s="648">
        <f>+'Alimentazione SP P'!I27</f>
        <v>0</v>
      </c>
      <c r="E234" s="648">
        <f>+'Alimentazione SP P'!J27</f>
        <v>0</v>
      </c>
      <c r="F234" s="631"/>
      <c r="G234" s="649"/>
      <c r="J234" s="634"/>
      <c r="K234" s="633"/>
    </row>
    <row r="235" spans="1:11" s="650" customFormat="1" ht="24.95" customHeight="1">
      <c r="A235" s="645"/>
      <c r="B235" s="652" t="s">
        <v>4117</v>
      </c>
      <c r="C235" s="653" t="s">
        <v>4118</v>
      </c>
      <c r="D235" s="648">
        <f>+'Alimentazione SP P'!I28</f>
        <v>0</v>
      </c>
      <c r="E235" s="648">
        <f>+'Alimentazione SP P'!J28</f>
        <v>0</v>
      </c>
      <c r="F235" s="631"/>
      <c r="G235" s="649"/>
      <c r="J235" s="634"/>
      <c r="K235" s="633"/>
    </row>
    <row r="236" spans="1:11" s="650" customFormat="1" ht="24.95" customHeight="1">
      <c r="A236" s="645"/>
      <c r="B236" s="709" t="s">
        <v>4119</v>
      </c>
      <c r="C236" s="710" t="s">
        <v>4120</v>
      </c>
      <c r="D236" s="648">
        <f>+'Alimentazione SP P'!I29</f>
        <v>0</v>
      </c>
      <c r="E236" s="648">
        <f>+'Alimentazione SP P'!J29</f>
        <v>0</v>
      </c>
      <c r="F236" s="631"/>
      <c r="G236" s="649"/>
      <c r="J236" s="634"/>
      <c r="K236" s="633"/>
    </row>
    <row r="237" spans="1:11" s="650" customFormat="1" ht="24.95" customHeight="1" thickBot="1">
      <c r="A237" s="655"/>
      <c r="B237" s="711" t="s">
        <v>4121</v>
      </c>
      <c r="C237" s="712" t="s">
        <v>4122</v>
      </c>
      <c r="D237" s="648">
        <f>+'Alimentazione SP P'!I30</f>
        <v>15600</v>
      </c>
      <c r="E237" s="648">
        <f>+'Alimentazione SP P'!J30</f>
        <v>147116</v>
      </c>
      <c r="F237" s="631"/>
      <c r="G237" s="649"/>
      <c r="J237" s="634"/>
      <c r="K237" s="633"/>
    </row>
    <row r="238" spans="1:11" s="650" customFormat="1" ht="24.95" customHeight="1">
      <c r="A238" s="627"/>
      <c r="B238" s="628" t="s">
        <v>4123</v>
      </c>
      <c r="C238" s="629" t="s">
        <v>4124</v>
      </c>
      <c r="D238" s="662">
        <f>+D239+D240+D248+D257+D263</f>
        <v>21394434</v>
      </c>
      <c r="E238" s="662">
        <f>+E239+E240+E248+E257+E263</f>
        <v>24800436</v>
      </c>
      <c r="F238" s="631"/>
      <c r="G238" s="649"/>
      <c r="J238" s="634"/>
      <c r="K238" s="633"/>
    </row>
    <row r="239" spans="1:11" s="650" customFormat="1" ht="24.95" customHeight="1">
      <c r="A239" s="645"/>
      <c r="B239" s="709" t="s">
        <v>4125</v>
      </c>
      <c r="C239" s="710" t="s">
        <v>4126</v>
      </c>
      <c r="D239" s="648">
        <f>+'Alimentazione SP P'!I112</f>
        <v>0</v>
      </c>
      <c r="E239" s="648">
        <f>+'Alimentazione SP P'!J112</f>
        <v>0</v>
      </c>
      <c r="F239" s="631"/>
      <c r="G239" s="649"/>
      <c r="J239" s="634"/>
      <c r="K239" s="633"/>
    </row>
    <row r="240" spans="1:11" s="650" customFormat="1" ht="24.95" customHeight="1">
      <c r="A240" s="635"/>
      <c r="B240" s="636" t="s">
        <v>4127</v>
      </c>
      <c r="C240" s="637" t="s">
        <v>4128</v>
      </c>
      <c r="D240" s="638">
        <f>SUM(D241:D247)</f>
        <v>4577189</v>
      </c>
      <c r="E240" s="638">
        <f>SUM(E241:E247)</f>
        <v>5397188</v>
      </c>
      <c r="F240" s="631"/>
      <c r="G240" s="649"/>
      <c r="J240" s="634"/>
      <c r="K240" s="633"/>
    </row>
    <row r="241" spans="1:11" s="650" customFormat="1" ht="24.95" customHeight="1">
      <c r="A241" s="645"/>
      <c r="B241" s="652" t="s">
        <v>4129</v>
      </c>
      <c r="C241" s="653" t="s">
        <v>4130</v>
      </c>
      <c r="D241" s="648">
        <f>+'Alimentazione SP P'!I114</f>
        <v>3070898</v>
      </c>
      <c r="E241" s="648">
        <f>+'Alimentazione SP P'!J114</f>
        <v>3264701</v>
      </c>
      <c r="F241" s="631"/>
      <c r="G241" s="649"/>
      <c r="J241" s="634"/>
      <c r="K241" s="633"/>
    </row>
    <row r="242" spans="1:11" s="650" customFormat="1" ht="24.95" customHeight="1">
      <c r="A242" s="645"/>
      <c r="B242" s="652" t="s">
        <v>4131</v>
      </c>
      <c r="C242" s="653" t="s">
        <v>4132</v>
      </c>
      <c r="D242" s="648">
        <f>+'Alimentazione SP P'!I115</f>
        <v>869559</v>
      </c>
      <c r="E242" s="648">
        <f>+'Alimentazione SP P'!J115</f>
        <v>1495755</v>
      </c>
      <c r="F242" s="631"/>
      <c r="G242" s="649"/>
      <c r="J242" s="634"/>
      <c r="K242" s="633"/>
    </row>
    <row r="243" spans="1:11" s="650" customFormat="1" ht="24.95" customHeight="1">
      <c r="A243" s="645"/>
      <c r="B243" s="652" t="s">
        <v>4133</v>
      </c>
      <c r="C243" s="653" t="s">
        <v>4134</v>
      </c>
      <c r="D243" s="648">
        <f>+'Alimentazione SP P'!I116</f>
        <v>0</v>
      </c>
      <c r="E243" s="648">
        <f>+'Alimentazione SP P'!J116</f>
        <v>0</v>
      </c>
      <c r="F243" s="631"/>
      <c r="G243" s="649"/>
      <c r="J243" s="634"/>
      <c r="K243" s="633"/>
    </row>
    <row r="244" spans="1:11" s="650" customFormat="1" ht="24.95" customHeight="1">
      <c r="A244" s="645"/>
      <c r="B244" s="652" t="s">
        <v>4135</v>
      </c>
      <c r="C244" s="653" t="s">
        <v>4136</v>
      </c>
      <c r="D244" s="648">
        <f>+'Alimentazione SP P'!I117</f>
        <v>0</v>
      </c>
      <c r="E244" s="648">
        <f>+'Alimentazione SP P'!J117</f>
        <v>0</v>
      </c>
      <c r="F244" s="631"/>
      <c r="G244" s="649"/>
      <c r="J244" s="634"/>
      <c r="K244" s="633"/>
    </row>
    <row r="245" spans="1:11" s="650" customFormat="1" ht="24.95" customHeight="1">
      <c r="A245" s="645"/>
      <c r="B245" s="713" t="s">
        <v>4137</v>
      </c>
      <c r="C245" s="714" t="s">
        <v>4138</v>
      </c>
      <c r="D245" s="648">
        <f>+'Alimentazione SP P'!I118</f>
        <v>0</v>
      </c>
      <c r="E245" s="648">
        <f>+'Alimentazione SP P'!J118</f>
        <v>0</v>
      </c>
      <c r="F245" s="631"/>
      <c r="G245" s="649"/>
      <c r="J245" s="634"/>
      <c r="K245" s="633"/>
    </row>
    <row r="246" spans="1:11" s="650" customFormat="1" ht="24.95" customHeight="1">
      <c r="A246" s="645"/>
      <c r="B246" s="713" t="s">
        <v>4139</v>
      </c>
      <c r="C246" s="714" t="s">
        <v>4140</v>
      </c>
      <c r="D246" s="648">
        <f>+'Alimentazione SP P'!I119</f>
        <v>0</v>
      </c>
      <c r="E246" s="648">
        <f>+'Alimentazione SP P'!J119</f>
        <v>0</v>
      </c>
      <c r="F246" s="631"/>
      <c r="G246" s="649"/>
      <c r="J246" s="634"/>
      <c r="K246" s="633"/>
    </row>
    <row r="247" spans="1:11" s="650" customFormat="1" ht="24.95" customHeight="1">
      <c r="A247" s="645"/>
      <c r="B247" s="713" t="s">
        <v>4141</v>
      </c>
      <c r="C247" s="714" t="s">
        <v>4142</v>
      </c>
      <c r="D247" s="648">
        <f>+'Alimentazione SP P'!I121+'Alimentazione SP P'!I122+'Alimentazione SP P'!I123</f>
        <v>636732</v>
      </c>
      <c r="E247" s="648">
        <f>+'Alimentazione SP P'!J121+'Alimentazione SP P'!J122+'Alimentazione SP P'!J123</f>
        <v>636732</v>
      </c>
      <c r="F247" s="631"/>
      <c r="G247" s="649"/>
      <c r="J247" s="634"/>
      <c r="K247" s="633"/>
    </row>
    <row r="248" spans="1:11" s="650" customFormat="1" ht="24.95" customHeight="1">
      <c r="A248" s="635"/>
      <c r="B248" s="636" t="s">
        <v>4143</v>
      </c>
      <c r="C248" s="637" t="s">
        <v>4144</v>
      </c>
      <c r="D248" s="638">
        <f>SUM(D249:D256)</f>
        <v>0</v>
      </c>
      <c r="E248" s="638">
        <f>SUM(E249:E256)</f>
        <v>0</v>
      </c>
      <c r="F248" s="631"/>
      <c r="G248" s="649"/>
      <c r="J248" s="634"/>
      <c r="K248" s="633"/>
    </row>
    <row r="249" spans="1:11" s="650" customFormat="1" ht="24.95" customHeight="1">
      <c r="A249" s="645"/>
      <c r="B249" s="652" t="s">
        <v>4145</v>
      </c>
      <c r="C249" s="653" t="s">
        <v>4146</v>
      </c>
      <c r="D249" s="648">
        <f>+'Alimentazione SP P'!I125</f>
        <v>0</v>
      </c>
      <c r="E249" s="648">
        <f>+'Alimentazione SP P'!J125</f>
        <v>0</v>
      </c>
      <c r="F249" s="631"/>
      <c r="G249" s="649"/>
      <c r="J249" s="634"/>
      <c r="K249" s="633"/>
    </row>
    <row r="250" spans="1:11" s="650" customFormat="1" ht="24.95" customHeight="1">
      <c r="A250" s="645"/>
      <c r="B250" s="652" t="s">
        <v>4147</v>
      </c>
      <c r="C250" s="653" t="s">
        <v>4148</v>
      </c>
      <c r="D250" s="648">
        <f>+'Alimentazione SP P'!I126</f>
        <v>0</v>
      </c>
      <c r="E250" s="648">
        <f>+'Alimentazione SP P'!J126</f>
        <v>0</v>
      </c>
      <c r="F250" s="631"/>
      <c r="G250" s="649"/>
      <c r="J250" s="634"/>
      <c r="K250" s="633"/>
    </row>
    <row r="251" spans="1:11" s="650" customFormat="1" ht="24.95" customHeight="1">
      <c r="A251" s="645"/>
      <c r="B251" s="652" t="s">
        <v>4149</v>
      </c>
      <c r="C251" s="653" t="s">
        <v>4150</v>
      </c>
      <c r="D251" s="648">
        <f>+'Alimentazione SP P'!I127</f>
        <v>0</v>
      </c>
      <c r="E251" s="648">
        <f>+'Alimentazione SP P'!J127</f>
        <v>0</v>
      </c>
      <c r="F251" s="631"/>
      <c r="G251" s="649"/>
      <c r="J251" s="634"/>
      <c r="K251" s="633"/>
    </row>
    <row r="252" spans="1:11" s="650" customFormat="1" ht="24.95" customHeight="1">
      <c r="A252" s="645"/>
      <c r="B252" s="652" t="s">
        <v>4151</v>
      </c>
      <c r="C252" s="653" t="s">
        <v>4152</v>
      </c>
      <c r="D252" s="648">
        <f>+'Alimentazione SP P'!I128</f>
        <v>0</v>
      </c>
      <c r="E252" s="648">
        <f>+'Alimentazione SP P'!J128</f>
        <v>0</v>
      </c>
      <c r="F252" s="631"/>
      <c r="G252" s="649"/>
      <c r="J252" s="634"/>
      <c r="K252" s="633"/>
    </row>
    <row r="253" spans="1:11" s="650" customFormat="1" ht="24.95" customHeight="1">
      <c r="A253" s="645"/>
      <c r="B253" s="652" t="s">
        <v>4153</v>
      </c>
      <c r="C253" s="653" t="s">
        <v>4154</v>
      </c>
      <c r="D253" s="648">
        <f>+'Alimentazione SP P'!I129</f>
        <v>0</v>
      </c>
      <c r="E253" s="648">
        <f>+'Alimentazione SP P'!J129</f>
        <v>0</v>
      </c>
      <c r="F253" s="631"/>
      <c r="G253" s="649"/>
      <c r="J253" s="634"/>
      <c r="K253" s="633"/>
    </row>
    <row r="254" spans="1:11" s="650" customFormat="1" ht="24.95" customHeight="1">
      <c r="A254" s="645"/>
      <c r="B254" s="652" t="s">
        <v>4155</v>
      </c>
      <c r="C254" s="653" t="s">
        <v>4156</v>
      </c>
      <c r="D254" s="648">
        <f>+'Alimentazione SP P'!I130</f>
        <v>0</v>
      </c>
      <c r="E254" s="648">
        <f>+'Alimentazione SP P'!J130</f>
        <v>0</v>
      </c>
      <c r="F254" s="631"/>
      <c r="G254" s="649"/>
      <c r="J254" s="634"/>
      <c r="K254" s="633"/>
    </row>
    <row r="255" spans="1:11" s="650" customFormat="1" ht="24.95" customHeight="1">
      <c r="A255" s="645"/>
      <c r="B255" s="652" t="s">
        <v>4157</v>
      </c>
      <c r="C255" s="653" t="s">
        <v>4158</v>
      </c>
      <c r="D255" s="648">
        <f>+'Alimentazione SP P'!I131</f>
        <v>0</v>
      </c>
      <c r="E255" s="648">
        <f>+'Alimentazione SP P'!J131</f>
        <v>0</v>
      </c>
      <c r="F255" s="631"/>
      <c r="G255" s="649"/>
      <c r="J255" s="634"/>
      <c r="K255" s="633"/>
    </row>
    <row r="256" spans="1:11" s="650" customFormat="1" ht="33.75" customHeight="1">
      <c r="A256" s="645"/>
      <c r="B256" s="715" t="s">
        <v>4159</v>
      </c>
      <c r="C256" s="716" t="s">
        <v>4160</v>
      </c>
      <c r="D256" s="648">
        <f>+'Alimentazione SP P'!I132</f>
        <v>0</v>
      </c>
      <c r="E256" s="648">
        <f>+'Alimentazione SP P'!J132</f>
        <v>0</v>
      </c>
      <c r="F256" s="631"/>
      <c r="G256" s="649"/>
      <c r="J256" s="634"/>
      <c r="K256" s="633"/>
    </row>
    <row r="257" spans="1:11" s="650" customFormat="1" ht="24.95" customHeight="1">
      <c r="A257" s="635"/>
      <c r="B257" s="636" t="s">
        <v>4161</v>
      </c>
      <c r="C257" s="637" t="s">
        <v>4162</v>
      </c>
      <c r="D257" s="638">
        <f>SUM(D258:D262)</f>
        <v>15164224</v>
      </c>
      <c r="E257" s="638">
        <f>SUM(E258:E262)</f>
        <v>16236151</v>
      </c>
      <c r="F257" s="631"/>
      <c r="G257" s="649"/>
      <c r="J257" s="634"/>
      <c r="K257" s="633"/>
    </row>
    <row r="258" spans="1:11" s="678" customFormat="1" ht="24.95" customHeight="1">
      <c r="A258" s="645"/>
      <c r="B258" s="713" t="s">
        <v>4163</v>
      </c>
      <c r="C258" s="714" t="s">
        <v>4164</v>
      </c>
      <c r="D258" s="648">
        <f>+'Alimentazione SP P'!I134</f>
        <v>2033747</v>
      </c>
      <c r="E258" s="648">
        <f>+'Alimentazione SP P'!J134</f>
        <v>205207</v>
      </c>
      <c r="F258" s="631"/>
      <c r="G258" s="649"/>
      <c r="J258" s="634"/>
      <c r="K258" s="633"/>
    </row>
    <row r="259" spans="1:11" s="650" customFormat="1" ht="24.95" customHeight="1">
      <c r="A259" s="645"/>
      <c r="B259" s="652" t="s">
        <v>4165</v>
      </c>
      <c r="C259" s="653" t="s">
        <v>4166</v>
      </c>
      <c r="D259" s="648">
        <f>+'Alimentazione SP P'!I135</f>
        <v>0</v>
      </c>
      <c r="E259" s="648">
        <f>+'Alimentazione SP P'!J135</f>
        <v>0</v>
      </c>
      <c r="F259" s="631"/>
      <c r="G259" s="649"/>
      <c r="J259" s="634"/>
      <c r="K259" s="633"/>
    </row>
    <row r="260" spans="1:11" s="650" customFormat="1" ht="24.95" customHeight="1">
      <c r="A260" s="645"/>
      <c r="B260" s="652" t="s">
        <v>4167</v>
      </c>
      <c r="C260" s="653" t="s">
        <v>4168</v>
      </c>
      <c r="D260" s="648">
        <f>+'Alimentazione SP P'!I136</f>
        <v>1930690</v>
      </c>
      <c r="E260" s="648">
        <f>+'Alimentazione SP P'!J136</f>
        <v>1489126</v>
      </c>
      <c r="F260" s="631"/>
      <c r="G260" s="649"/>
      <c r="J260" s="634"/>
      <c r="K260" s="633"/>
    </row>
    <row r="261" spans="1:11" s="650" customFormat="1" ht="24.95" customHeight="1">
      <c r="A261" s="645"/>
      <c r="B261" s="652" t="s">
        <v>4169</v>
      </c>
      <c r="C261" s="653" t="s">
        <v>4170</v>
      </c>
      <c r="D261" s="648">
        <f>+'Alimentazione SP P'!I137</f>
        <v>4694074</v>
      </c>
      <c r="E261" s="648">
        <f>+'Alimentazione SP P'!J137</f>
        <v>11719320</v>
      </c>
      <c r="F261" s="631"/>
      <c r="G261" s="649"/>
      <c r="J261" s="634"/>
      <c r="K261" s="633"/>
    </row>
    <row r="262" spans="1:11" s="650" customFormat="1" ht="24.95" customHeight="1">
      <c r="A262" s="645"/>
      <c r="B262" s="652" t="s">
        <v>4171</v>
      </c>
      <c r="C262" s="653" t="s">
        <v>4172</v>
      </c>
      <c r="D262" s="648">
        <f>+'Alimentazione SP P'!I139+'Alimentazione SP P'!I140</f>
        <v>6505713</v>
      </c>
      <c r="E262" s="648">
        <f>+'Alimentazione SP P'!J139+'Alimentazione SP P'!J140</f>
        <v>2822498</v>
      </c>
      <c r="F262" s="631"/>
      <c r="G262" s="649"/>
      <c r="J262" s="634"/>
      <c r="K262" s="633"/>
    </row>
    <row r="263" spans="1:11" s="650" customFormat="1" ht="24.95" customHeight="1">
      <c r="A263" s="635"/>
      <c r="B263" s="636" t="s">
        <v>4173</v>
      </c>
      <c r="C263" s="637" t="s">
        <v>4174</v>
      </c>
      <c r="D263" s="638">
        <f>+D264+D265+D269+D270</f>
        <v>1653021</v>
      </c>
      <c r="E263" s="638">
        <f>+E264+E265+E269+E270</f>
        <v>3167097</v>
      </c>
      <c r="F263" s="631"/>
      <c r="G263" s="649"/>
      <c r="J263" s="634"/>
      <c r="K263" s="633"/>
    </row>
    <row r="264" spans="1:11" s="650" customFormat="1" ht="24.95" customHeight="1">
      <c r="A264" s="645"/>
      <c r="B264" s="652" t="s">
        <v>4175</v>
      </c>
      <c r="C264" s="653" t="s">
        <v>4176</v>
      </c>
      <c r="D264" s="648">
        <f>+'Alimentazione SP P'!I142</f>
        <v>0</v>
      </c>
      <c r="E264" s="648">
        <f>+'Alimentazione SP P'!J142</f>
        <v>0</v>
      </c>
      <c r="F264" s="631"/>
      <c r="G264" s="649"/>
      <c r="J264" s="634"/>
      <c r="K264" s="633"/>
    </row>
    <row r="265" spans="1:11" s="650" customFormat="1" ht="24.95" customHeight="1">
      <c r="A265" s="651"/>
      <c r="B265" s="641" t="s">
        <v>4177</v>
      </c>
      <c r="C265" s="642" t="s">
        <v>4178</v>
      </c>
      <c r="D265" s="643">
        <f>+D266+D267+D268</f>
        <v>904643</v>
      </c>
      <c r="E265" s="643">
        <f>+E266+E267+E268</f>
        <v>2468500</v>
      </c>
      <c r="F265" s="631"/>
      <c r="G265" s="649"/>
      <c r="J265" s="634"/>
      <c r="K265" s="633"/>
    </row>
    <row r="266" spans="1:11" s="650" customFormat="1" ht="24.95" customHeight="1">
      <c r="A266" s="645"/>
      <c r="B266" s="646" t="s">
        <v>4179</v>
      </c>
      <c r="C266" s="647" t="s">
        <v>4180</v>
      </c>
      <c r="D266" s="648">
        <f>+'Alimentazione SP P'!I144</f>
        <v>904643</v>
      </c>
      <c r="E266" s="648">
        <f>+'Alimentazione SP P'!J144</f>
        <v>2468500</v>
      </c>
      <c r="F266" s="631"/>
      <c r="G266" s="649"/>
      <c r="J266" s="634"/>
      <c r="K266" s="633"/>
    </row>
    <row r="267" spans="1:11" s="650" customFormat="1" ht="24.95" customHeight="1">
      <c r="A267" s="645"/>
      <c r="B267" s="646" t="s">
        <v>4181</v>
      </c>
      <c r="C267" s="647" t="s">
        <v>4182</v>
      </c>
      <c r="D267" s="648">
        <f>+'Alimentazione SP P'!I145</f>
        <v>0</v>
      </c>
      <c r="E267" s="648">
        <f>+'Alimentazione SP P'!J145</f>
        <v>0</v>
      </c>
      <c r="F267" s="631"/>
      <c r="G267" s="649"/>
      <c r="J267" s="634"/>
      <c r="K267" s="633"/>
    </row>
    <row r="268" spans="1:11" s="650" customFormat="1" ht="24.95" customHeight="1">
      <c r="A268" s="645"/>
      <c r="B268" s="646" t="s">
        <v>4183</v>
      </c>
      <c r="C268" s="647" t="s">
        <v>4184</v>
      </c>
      <c r="D268" s="648">
        <f>+'Alimentazione SP P'!I146</f>
        <v>0</v>
      </c>
      <c r="E268" s="648">
        <f>+'Alimentazione SP P'!J146</f>
        <v>0</v>
      </c>
      <c r="F268" s="631"/>
      <c r="G268" s="649"/>
      <c r="J268" s="634"/>
      <c r="K268" s="633"/>
    </row>
    <row r="269" spans="1:11" s="650" customFormat="1" ht="24.95" customHeight="1">
      <c r="A269" s="706"/>
      <c r="B269" s="717" t="s">
        <v>4185</v>
      </c>
      <c r="C269" s="718" t="s">
        <v>4186</v>
      </c>
      <c r="D269" s="648">
        <f>+'Alimentazione SP P'!I148+'Alimentazione SP P'!I149</f>
        <v>567206</v>
      </c>
      <c r="E269" s="648">
        <f>+'Alimentazione SP P'!J148+'Alimentazione SP P'!J149</f>
        <v>571665</v>
      </c>
      <c r="F269" s="631"/>
      <c r="G269" s="649"/>
      <c r="J269" s="634"/>
      <c r="K269" s="633"/>
    </row>
    <row r="270" spans="1:11" s="678" customFormat="1" ht="24.95" customHeight="1">
      <c r="A270" s="719"/>
      <c r="B270" s="720" t="s">
        <v>4187</v>
      </c>
      <c r="C270" s="721" t="s">
        <v>4188</v>
      </c>
      <c r="D270" s="648">
        <f>+'Alimentazione SP P'!I150</f>
        <v>181172</v>
      </c>
      <c r="E270" s="648">
        <f>+'Alimentazione SP P'!J150</f>
        <v>126932</v>
      </c>
      <c r="F270" s="631"/>
      <c r="G270" s="649"/>
      <c r="J270" s="634"/>
      <c r="K270" s="633"/>
    </row>
    <row r="271" spans="1:11" s="650" customFormat="1" ht="24.95" customHeight="1">
      <c r="A271" s="627"/>
      <c r="B271" s="722" t="s">
        <v>4189</v>
      </c>
      <c r="C271" s="702" t="s">
        <v>4190</v>
      </c>
      <c r="D271" s="703">
        <f>+D272+D273+D274</f>
        <v>0</v>
      </c>
      <c r="E271" s="703">
        <f>+E272+E273+E274</f>
        <v>0</v>
      </c>
      <c r="F271" s="631"/>
      <c r="G271" s="649"/>
      <c r="J271" s="634"/>
      <c r="K271" s="633"/>
    </row>
    <row r="272" spans="1:11" s="650" customFormat="1" ht="24.95" customHeight="1">
      <c r="A272" s="645"/>
      <c r="B272" s="709" t="s">
        <v>4191</v>
      </c>
      <c r="C272" s="710" t="s">
        <v>4192</v>
      </c>
      <c r="D272" s="648">
        <f>+'Alimentazione SP P'!I152</f>
        <v>0</v>
      </c>
      <c r="E272" s="648">
        <f>+'Alimentazione SP P'!J152</f>
        <v>0</v>
      </c>
      <c r="F272" s="631"/>
      <c r="G272" s="649"/>
      <c r="J272" s="634"/>
      <c r="K272" s="633"/>
    </row>
    <row r="273" spans="1:11" s="650" customFormat="1" ht="24.95" customHeight="1">
      <c r="A273" s="645"/>
      <c r="B273" s="709" t="s">
        <v>4193</v>
      </c>
      <c r="C273" s="710" t="s">
        <v>4194</v>
      </c>
      <c r="D273" s="648">
        <f>+'Alimentazione SP P'!I153</f>
        <v>0</v>
      </c>
      <c r="E273" s="648">
        <f>+'Alimentazione SP P'!J153</f>
        <v>0</v>
      </c>
      <c r="F273" s="631"/>
      <c r="G273" s="649"/>
      <c r="J273" s="634"/>
      <c r="K273" s="633"/>
    </row>
    <row r="274" spans="1:11" s="650" customFormat="1" ht="24.95" customHeight="1" thickBot="1">
      <c r="A274" s="655"/>
      <c r="B274" s="711" t="s">
        <v>4195</v>
      </c>
      <c r="C274" s="712" t="s">
        <v>4196</v>
      </c>
      <c r="D274" s="648">
        <f>+'Alimentazione SP P'!I154</f>
        <v>0</v>
      </c>
      <c r="E274" s="648">
        <f>+'Alimentazione SP P'!J154</f>
        <v>0</v>
      </c>
      <c r="F274" s="631"/>
      <c r="G274" s="649"/>
      <c r="J274" s="634"/>
      <c r="K274" s="633"/>
    </row>
    <row r="275" spans="1:11" s="650" customFormat="1" ht="24.95" customHeight="1">
      <c r="A275" s="723"/>
      <c r="B275" s="724" t="s">
        <v>4197</v>
      </c>
      <c r="C275" s="629" t="s">
        <v>4198</v>
      </c>
      <c r="D275" s="662">
        <f>+D276+D277+D283+D294+D295+D313+D317+D324+D325+D326+D327</f>
        <v>28762966</v>
      </c>
      <c r="E275" s="662">
        <f>+E276+E277+E283+E294+E295+E313+E317+E324+E325+E326+E327</f>
        <v>28769408</v>
      </c>
      <c r="F275" s="631"/>
      <c r="G275" s="649"/>
      <c r="J275" s="634"/>
      <c r="K275" s="633"/>
    </row>
    <row r="276" spans="1:11" s="650" customFormat="1" ht="24.95" customHeight="1">
      <c r="A276" s="645"/>
      <c r="B276" s="709" t="s">
        <v>4199</v>
      </c>
      <c r="C276" s="710" t="s">
        <v>4200</v>
      </c>
      <c r="D276" s="648">
        <f>+'Alimentazione SP P'!I156</f>
        <v>0</v>
      </c>
      <c r="E276" s="648">
        <f>+'Alimentazione SP P'!J156</f>
        <v>0</v>
      </c>
      <c r="F276" s="631"/>
      <c r="G276" s="649"/>
      <c r="J276" s="634"/>
      <c r="K276" s="633"/>
    </row>
    <row r="277" spans="1:11" s="650" customFormat="1" ht="24.95" customHeight="1">
      <c r="A277" s="645"/>
      <c r="B277" s="709" t="s">
        <v>4201</v>
      </c>
      <c r="C277" s="710" t="s">
        <v>4202</v>
      </c>
      <c r="D277" s="648">
        <f>SUM(D278:D282)</f>
        <v>0</v>
      </c>
      <c r="E277" s="648">
        <f>SUM(E278:E282)</f>
        <v>0</v>
      </c>
      <c r="F277" s="631"/>
      <c r="G277" s="649"/>
      <c r="J277" s="634"/>
      <c r="K277" s="633"/>
    </row>
    <row r="278" spans="1:11" s="650" customFormat="1" ht="24.95" customHeight="1">
      <c r="A278" s="725" t="s">
        <v>1575</v>
      </c>
      <c r="B278" s="713" t="s">
        <v>4203</v>
      </c>
      <c r="C278" s="714" t="s">
        <v>4204</v>
      </c>
      <c r="D278" s="648">
        <f>+'Alimentazione SP P'!I158</f>
        <v>0</v>
      </c>
      <c r="E278" s="648">
        <f>+'Alimentazione SP P'!J158</f>
        <v>0</v>
      </c>
      <c r="F278" s="631"/>
      <c r="G278" s="649"/>
      <c r="J278" s="634"/>
      <c r="K278" s="633"/>
    </row>
    <row r="279" spans="1:11" s="650" customFormat="1" ht="24.95" customHeight="1">
      <c r="A279" s="725"/>
      <c r="B279" s="713" t="s">
        <v>4205</v>
      </c>
      <c r="C279" s="714" t="s">
        <v>4206</v>
      </c>
      <c r="D279" s="648">
        <f>+'Alimentazione SP P'!I159</f>
        <v>0</v>
      </c>
      <c r="E279" s="648">
        <f>+'Alimentazione SP P'!J159</f>
        <v>0</v>
      </c>
      <c r="F279" s="631"/>
      <c r="G279" s="649"/>
      <c r="J279" s="634"/>
      <c r="K279" s="633"/>
    </row>
    <row r="280" spans="1:11" s="650" customFormat="1" ht="24.95" customHeight="1">
      <c r="A280" s="695" t="s">
        <v>1579</v>
      </c>
      <c r="B280" s="713" t="s">
        <v>4207</v>
      </c>
      <c r="C280" s="714" t="s">
        <v>4208</v>
      </c>
      <c r="D280" s="648">
        <f>+'Alimentazione SP P'!I160</f>
        <v>0</v>
      </c>
      <c r="E280" s="648">
        <f>+'Alimentazione SP P'!J160</f>
        <v>0</v>
      </c>
      <c r="F280" s="631"/>
      <c r="G280" s="649"/>
      <c r="J280" s="634"/>
      <c r="K280" s="633"/>
    </row>
    <row r="281" spans="1:11" s="650" customFormat="1" ht="24.95" customHeight="1">
      <c r="A281" s="695" t="s">
        <v>1579</v>
      </c>
      <c r="B281" s="713" t="s">
        <v>4209</v>
      </c>
      <c r="C281" s="714" t="s">
        <v>4210</v>
      </c>
      <c r="D281" s="648">
        <f>+'Alimentazione SP P'!I161</f>
        <v>0</v>
      </c>
      <c r="E281" s="648">
        <f>+'Alimentazione SP P'!J161</f>
        <v>0</v>
      </c>
      <c r="F281" s="631"/>
      <c r="G281" s="649"/>
      <c r="J281" s="634"/>
      <c r="K281" s="633"/>
    </row>
    <row r="282" spans="1:11" s="650" customFormat="1" ht="24.95" customHeight="1">
      <c r="A282" s="695" t="s">
        <v>1579</v>
      </c>
      <c r="B282" s="713" t="s">
        <v>4211</v>
      </c>
      <c r="C282" s="714" t="s">
        <v>4212</v>
      </c>
      <c r="D282" s="648">
        <f>+'Alimentazione SP P'!I163+'Alimentazione SP P'!I164+'Alimentazione SP P'!I165+'Alimentazione SP P'!I166</f>
        <v>0</v>
      </c>
      <c r="E282" s="648">
        <f>+'Alimentazione SP P'!J163+'Alimentazione SP P'!J164+'Alimentazione SP P'!J165+'Alimentazione SP P'!J166</f>
        <v>0</v>
      </c>
      <c r="F282" s="631"/>
      <c r="G282" s="649"/>
      <c r="J282" s="634"/>
      <c r="K282" s="633"/>
    </row>
    <row r="283" spans="1:11" s="650" customFormat="1" ht="24.95" customHeight="1">
      <c r="A283" s="645"/>
      <c r="B283" s="709" t="s">
        <v>4213</v>
      </c>
      <c r="C283" s="710" t="s">
        <v>4214</v>
      </c>
      <c r="D283" s="648">
        <f>SUM(D284:D293)</f>
        <v>15626</v>
      </c>
      <c r="E283" s="648">
        <f>SUM(E284:E293)</f>
        <v>0</v>
      </c>
      <c r="F283" s="631"/>
      <c r="G283" s="649"/>
      <c r="J283" s="634"/>
      <c r="K283" s="633"/>
    </row>
    <row r="284" spans="1:11" s="678" customFormat="1" ht="24.95" customHeight="1">
      <c r="A284" s="695" t="s">
        <v>3940</v>
      </c>
      <c r="B284" s="652" t="s">
        <v>4215</v>
      </c>
      <c r="C284" s="653" t="s">
        <v>4216</v>
      </c>
      <c r="D284" s="648">
        <f>'Alimentazione SP P'!I168</f>
        <v>0</v>
      </c>
      <c r="E284" s="648">
        <f>'Alimentazione SP P'!J168</f>
        <v>0</v>
      </c>
      <c r="F284" s="631"/>
      <c r="G284" s="649"/>
      <c r="J284" s="634"/>
      <c r="K284" s="633"/>
    </row>
    <row r="285" spans="1:11" s="678" customFormat="1" ht="24.95" customHeight="1">
      <c r="A285" s="695"/>
      <c r="B285" s="652" t="s">
        <v>4217</v>
      </c>
      <c r="C285" s="653" t="s">
        <v>4218</v>
      </c>
      <c r="D285" s="648">
        <f>'Alimentazione SP P'!I169</f>
        <v>15626</v>
      </c>
      <c r="E285" s="648">
        <f>'Alimentazione SP P'!J169</f>
        <v>0</v>
      </c>
      <c r="F285" s="631"/>
      <c r="G285" s="649"/>
      <c r="J285" s="634"/>
      <c r="K285" s="633"/>
    </row>
    <row r="286" spans="1:11" s="650" customFormat="1" ht="24.95" customHeight="1">
      <c r="A286" s="695" t="s">
        <v>1530</v>
      </c>
      <c r="B286" s="652" t="s">
        <v>4219</v>
      </c>
      <c r="C286" s="653" t="s">
        <v>4220</v>
      </c>
      <c r="D286" s="648">
        <f>+'Alimentazione SP P'!I170</f>
        <v>0</v>
      </c>
      <c r="E286" s="648">
        <f>+'Alimentazione SP P'!J170</f>
        <v>0</v>
      </c>
      <c r="F286" s="631"/>
      <c r="G286" s="649"/>
      <c r="J286" s="634"/>
      <c r="K286" s="633"/>
    </row>
    <row r="287" spans="1:11" s="650" customFormat="1" ht="24.95" customHeight="1">
      <c r="A287" s="725" t="s">
        <v>3940</v>
      </c>
      <c r="B287" s="713" t="s">
        <v>4221</v>
      </c>
      <c r="C287" s="714" t="s">
        <v>4222</v>
      </c>
      <c r="D287" s="648">
        <f>+'Alimentazione SP P'!I171</f>
        <v>0</v>
      </c>
      <c r="E287" s="648">
        <f>+'Alimentazione SP P'!J171</f>
        <v>0</v>
      </c>
      <c r="F287" s="631"/>
      <c r="G287" s="649"/>
      <c r="J287" s="634"/>
      <c r="K287" s="633"/>
    </row>
    <row r="288" spans="1:11" s="678" customFormat="1" ht="24.95" customHeight="1">
      <c r="A288" s="675" t="s">
        <v>3940</v>
      </c>
      <c r="B288" s="726" t="s">
        <v>4223</v>
      </c>
      <c r="C288" s="727" t="s">
        <v>4224</v>
      </c>
      <c r="D288" s="648">
        <f>+'Alimentazione SP P'!I172</f>
        <v>0</v>
      </c>
      <c r="E288" s="648">
        <f>+'Alimentazione SP P'!J172</f>
        <v>0</v>
      </c>
      <c r="F288" s="631"/>
      <c r="G288" s="649"/>
      <c r="J288" s="634"/>
      <c r="K288" s="633"/>
    </row>
    <row r="289" spans="1:11" s="650" customFormat="1" ht="24.95" customHeight="1">
      <c r="A289" s="675" t="s">
        <v>3940</v>
      </c>
      <c r="B289" s="726" t="s">
        <v>4225</v>
      </c>
      <c r="C289" s="727" t="s">
        <v>4226</v>
      </c>
      <c r="D289" s="648">
        <f>+'Alimentazione SP P'!I173</f>
        <v>0</v>
      </c>
      <c r="E289" s="648">
        <f>+'Alimentazione SP P'!J173</f>
        <v>0</v>
      </c>
      <c r="F289" s="631"/>
      <c r="G289" s="649"/>
      <c r="J289" s="634"/>
      <c r="K289" s="633"/>
    </row>
    <row r="290" spans="1:11" s="650" customFormat="1" ht="24.95" customHeight="1">
      <c r="A290" s="675" t="s">
        <v>3940</v>
      </c>
      <c r="B290" s="726" t="s">
        <v>4227</v>
      </c>
      <c r="C290" s="727" t="s">
        <v>4228</v>
      </c>
      <c r="D290" s="648">
        <f>+'Alimentazione SP P'!I174</f>
        <v>0</v>
      </c>
      <c r="E290" s="648">
        <f>+'Alimentazione SP P'!J174</f>
        <v>0</v>
      </c>
      <c r="F290" s="631"/>
      <c r="G290" s="649"/>
      <c r="J290" s="634"/>
      <c r="K290" s="633"/>
    </row>
    <row r="291" spans="1:11" s="650" customFormat="1" ht="24.95" customHeight="1">
      <c r="A291" s="728"/>
      <c r="B291" s="729" t="s">
        <v>4229</v>
      </c>
      <c r="C291" s="730" t="s">
        <v>4230</v>
      </c>
      <c r="D291" s="648">
        <f>+'Alimentazione SP P'!I175</f>
        <v>0</v>
      </c>
      <c r="E291" s="648">
        <f>+'Alimentazione SP P'!J175</f>
        <v>0</v>
      </c>
      <c r="F291" s="631"/>
      <c r="G291" s="649"/>
      <c r="J291" s="634"/>
      <c r="K291" s="633"/>
    </row>
    <row r="292" spans="1:11" s="678" customFormat="1" ht="24.95" customHeight="1">
      <c r="A292" s="731" t="s">
        <v>3940</v>
      </c>
      <c r="B292" s="726" t="s">
        <v>4231</v>
      </c>
      <c r="C292" s="727" t="s">
        <v>4232</v>
      </c>
      <c r="D292" s="648">
        <f>+'Alimentazione SP P'!I176</f>
        <v>0</v>
      </c>
      <c r="E292" s="648">
        <f>+'Alimentazione SP P'!J176</f>
        <v>0</v>
      </c>
      <c r="F292" s="631"/>
      <c r="G292" s="649"/>
      <c r="J292" s="634"/>
      <c r="K292" s="633"/>
    </row>
    <row r="293" spans="1:11" s="678" customFormat="1" ht="24.95" customHeight="1">
      <c r="A293" s="731"/>
      <c r="B293" s="726" t="s">
        <v>4233</v>
      </c>
      <c r="C293" s="727" t="s">
        <v>4234</v>
      </c>
      <c r="D293" s="648">
        <f>+'Alimentazione SP P'!I178+'Alimentazione SP P'!I179+'Alimentazione SP P'!I180+'Alimentazione SP P'!I181+'Alimentazione SP P'!I182</f>
        <v>0</v>
      </c>
      <c r="E293" s="648">
        <f>+'Alimentazione SP P'!J178+'Alimentazione SP P'!J179+'Alimentazione SP P'!J180+'Alimentazione SP P'!J181+'Alimentazione SP P'!J182</f>
        <v>0</v>
      </c>
      <c r="F293" s="631"/>
      <c r="G293" s="649"/>
      <c r="J293" s="634"/>
      <c r="K293" s="633"/>
    </row>
    <row r="294" spans="1:11" s="650" customFormat="1" ht="24.95" customHeight="1">
      <c r="A294" s="645"/>
      <c r="B294" s="709" t="s">
        <v>4235</v>
      </c>
      <c r="C294" s="710" t="s">
        <v>4236</v>
      </c>
      <c r="D294" s="648">
        <f>+'Alimentazione SP P'!I184+'Alimentazione SP P'!I185+'Alimentazione SP P'!I186+'Alimentazione SP P'!I187</f>
        <v>0</v>
      </c>
      <c r="E294" s="648">
        <f>+'Alimentazione SP P'!J184+'Alimentazione SP P'!J185+'Alimentazione SP P'!J186+'Alimentazione SP P'!J187</f>
        <v>0</v>
      </c>
      <c r="F294" s="631"/>
      <c r="G294" s="649"/>
      <c r="J294" s="634"/>
      <c r="K294" s="633"/>
    </row>
    <row r="295" spans="1:11" s="650" customFormat="1" ht="24.95" customHeight="1">
      <c r="A295" s="645"/>
      <c r="B295" s="709" t="s">
        <v>4237</v>
      </c>
      <c r="C295" s="710" t="s">
        <v>4238</v>
      </c>
      <c r="D295" s="648">
        <f>+D296+D306+D307</f>
        <v>9417115</v>
      </c>
      <c r="E295" s="648">
        <f>+E296+E306+E307</f>
        <v>9352562</v>
      </c>
      <c r="F295" s="631"/>
      <c r="G295" s="649"/>
      <c r="J295" s="634"/>
      <c r="K295" s="633"/>
    </row>
    <row r="296" spans="1:11" s="650" customFormat="1" ht="24.95" customHeight="1">
      <c r="A296" s="645"/>
      <c r="B296" s="652" t="s">
        <v>4239</v>
      </c>
      <c r="C296" s="653" t="s">
        <v>4240</v>
      </c>
      <c r="D296" s="648">
        <f>SUM(D297:D305)</f>
        <v>9267126</v>
      </c>
      <c r="E296" s="648">
        <f>SUM(E297:E305)</f>
        <v>9252188</v>
      </c>
      <c r="F296" s="631"/>
      <c r="G296" s="649"/>
      <c r="J296" s="634"/>
      <c r="K296" s="633"/>
    </row>
    <row r="297" spans="1:11" s="650" customFormat="1" ht="24.95" customHeight="1">
      <c r="A297" s="645" t="s">
        <v>3940</v>
      </c>
      <c r="B297" s="646" t="s">
        <v>4241</v>
      </c>
      <c r="C297" s="647" t="s">
        <v>4242</v>
      </c>
      <c r="D297" s="648">
        <f>+'Alimentazione SP P'!I190</f>
        <v>0</v>
      </c>
      <c r="E297" s="648">
        <f>+'Alimentazione SP P'!J190</f>
        <v>0</v>
      </c>
      <c r="F297" s="631"/>
      <c r="G297" s="649"/>
      <c r="J297" s="634"/>
      <c r="K297" s="633"/>
    </row>
    <row r="298" spans="1:11" s="650" customFormat="1" ht="24.95" customHeight="1">
      <c r="A298" s="645" t="s">
        <v>3940</v>
      </c>
      <c r="B298" s="646" t="s">
        <v>4243</v>
      </c>
      <c r="C298" s="647" t="s">
        <v>4244</v>
      </c>
      <c r="D298" s="648">
        <f>+'Alimentazione SP P'!I191</f>
        <v>0</v>
      </c>
      <c r="E298" s="648">
        <f>+'Alimentazione SP P'!J191</f>
        <v>0</v>
      </c>
      <c r="F298" s="631"/>
      <c r="G298" s="649"/>
      <c r="J298" s="634"/>
      <c r="K298" s="633"/>
    </row>
    <row r="299" spans="1:11" s="650" customFormat="1" ht="24.95" customHeight="1">
      <c r="A299" s="645" t="s">
        <v>3940</v>
      </c>
      <c r="B299" s="646" t="s">
        <v>4245</v>
      </c>
      <c r="C299" s="647" t="s">
        <v>4246</v>
      </c>
      <c r="D299" s="648">
        <f>+'Alimentazione SP P'!I192</f>
        <v>0</v>
      </c>
      <c r="E299" s="648">
        <f>+'Alimentazione SP P'!J192</f>
        <v>0</v>
      </c>
      <c r="F299" s="631"/>
      <c r="G299" s="649"/>
      <c r="J299" s="634"/>
      <c r="K299" s="633"/>
    </row>
    <row r="300" spans="1:11" s="650" customFormat="1" ht="24.95" customHeight="1">
      <c r="A300" s="645" t="s">
        <v>1530</v>
      </c>
      <c r="B300" s="646" t="s">
        <v>4247</v>
      </c>
      <c r="C300" s="647" t="s">
        <v>4248</v>
      </c>
      <c r="D300" s="648">
        <f>+'Alimentazione SP P'!I193</f>
        <v>183223</v>
      </c>
      <c r="E300" s="648">
        <f>+'Alimentazione SP P'!J193</f>
        <v>0</v>
      </c>
      <c r="F300" s="631"/>
      <c r="G300" s="649"/>
      <c r="J300" s="634"/>
      <c r="K300" s="633"/>
    </row>
    <row r="301" spans="1:11" s="650" customFormat="1" ht="24.95" customHeight="1">
      <c r="A301" s="663" t="s">
        <v>1530</v>
      </c>
      <c r="B301" s="646" t="s">
        <v>4249</v>
      </c>
      <c r="C301" s="647" t="s">
        <v>4250</v>
      </c>
      <c r="D301" s="648">
        <f>+'Alimentazione SP P'!I195+'Alimentazione SP P'!I196+'Alimentazione SP P'!I197</f>
        <v>3589225</v>
      </c>
      <c r="E301" s="648">
        <f>+'Alimentazione SP P'!J195+'Alimentazione SP P'!J196+'Alimentazione SP P'!J197</f>
        <v>2967195</v>
      </c>
      <c r="F301" s="631"/>
      <c r="G301" s="649"/>
      <c r="J301" s="634"/>
      <c r="K301" s="633"/>
    </row>
    <row r="302" spans="1:11" s="650" customFormat="1" ht="24.95" customHeight="1">
      <c r="A302" s="663" t="s">
        <v>1530</v>
      </c>
      <c r="B302" s="646" t="s">
        <v>4251</v>
      </c>
      <c r="C302" s="647" t="s">
        <v>4252</v>
      </c>
      <c r="D302" s="648">
        <f>+'Alimentazione SP P'!I199+'Alimentazione SP P'!I200+'Alimentazione SP P'!I201</f>
        <v>5494678</v>
      </c>
      <c r="E302" s="648">
        <f>+'Alimentazione SP P'!J199+'Alimentazione SP P'!J200+'Alimentazione SP P'!J201</f>
        <v>6284993</v>
      </c>
      <c r="F302" s="631"/>
      <c r="G302" s="649"/>
      <c r="J302" s="634"/>
      <c r="K302" s="633"/>
    </row>
    <row r="303" spans="1:11" s="678" customFormat="1" ht="24.95" customHeight="1">
      <c r="A303" s="680" t="s">
        <v>3940</v>
      </c>
      <c r="B303" s="646" t="s">
        <v>4253</v>
      </c>
      <c r="C303" s="681" t="s">
        <v>4254</v>
      </c>
      <c r="D303" s="648">
        <f>+'Alimentazione SP P'!I202</f>
        <v>0</v>
      </c>
      <c r="E303" s="648">
        <f>+'Alimentazione SP P'!J202</f>
        <v>0</v>
      </c>
      <c r="G303" s="649"/>
      <c r="J303" s="634"/>
      <c r="K303" s="633"/>
    </row>
    <row r="304" spans="1:11" s="650" customFormat="1" ht="24.95" customHeight="1">
      <c r="A304" s="675" t="s">
        <v>1530</v>
      </c>
      <c r="B304" s="646" t="s">
        <v>4255</v>
      </c>
      <c r="C304" s="113" t="s">
        <v>4256</v>
      </c>
      <c r="D304" s="648">
        <f>+'Alimentazione SP P'!I203</f>
        <v>0</v>
      </c>
      <c r="E304" s="648">
        <f>+'Alimentazione SP P'!J203</f>
        <v>0</v>
      </c>
      <c r="F304" s="631"/>
      <c r="G304" s="649"/>
      <c r="J304" s="634"/>
      <c r="K304" s="633"/>
    </row>
    <row r="305" spans="1:11" s="678" customFormat="1" ht="24.95" customHeight="1">
      <c r="A305" s="682" t="s">
        <v>3940</v>
      </c>
      <c r="B305" s="732" t="s">
        <v>4257</v>
      </c>
      <c r="C305" s="113" t="s">
        <v>4258</v>
      </c>
      <c r="D305" s="648">
        <f>+'Alimentazione SP P'!I204</f>
        <v>0</v>
      </c>
      <c r="E305" s="648">
        <f>+'Alimentazione SP P'!J204</f>
        <v>0</v>
      </c>
      <c r="G305" s="649"/>
      <c r="J305" s="634"/>
      <c r="K305" s="633"/>
    </row>
    <row r="306" spans="1:11" s="650" customFormat="1" ht="24.95" customHeight="1">
      <c r="A306" s="695" t="s">
        <v>1579</v>
      </c>
      <c r="B306" s="652" t="s">
        <v>4259</v>
      </c>
      <c r="C306" s="653" t="s">
        <v>4260</v>
      </c>
      <c r="D306" s="648">
        <f>+'Alimentazione SP P'!I206+'Alimentazione SP P'!I207+'Alimentazione SP P'!I208</f>
        <v>149989</v>
      </c>
      <c r="E306" s="648">
        <f>+'Alimentazione SP P'!J206+'Alimentazione SP P'!J207+'Alimentazione SP P'!J208</f>
        <v>100374</v>
      </c>
      <c r="F306" s="631"/>
      <c r="G306" s="649"/>
      <c r="J306" s="634"/>
      <c r="K306" s="633"/>
    </row>
    <row r="307" spans="1:11" s="650" customFormat="1" ht="24.95" customHeight="1">
      <c r="A307" s="663"/>
      <c r="B307" s="652" t="s">
        <v>4261</v>
      </c>
      <c r="C307" s="653" t="s">
        <v>4262</v>
      </c>
      <c r="D307" s="648">
        <f>SUM(D308:D312)</f>
        <v>0</v>
      </c>
      <c r="E307" s="648">
        <f>SUM(E308:E312)</f>
        <v>0</v>
      </c>
      <c r="F307" s="631"/>
      <c r="G307" s="649"/>
      <c r="J307" s="634"/>
      <c r="K307" s="633"/>
    </row>
    <row r="308" spans="1:11" s="650" customFormat="1" ht="24.95" customHeight="1">
      <c r="A308" s="663" t="s">
        <v>3940</v>
      </c>
      <c r="B308" s="664" t="s">
        <v>4263</v>
      </c>
      <c r="C308" s="665" t="s">
        <v>4264</v>
      </c>
      <c r="D308" s="648">
        <f>+'Alimentazione SP P'!I210</f>
        <v>0</v>
      </c>
      <c r="E308" s="648">
        <f>+'Alimentazione SP P'!J210</f>
        <v>0</v>
      </c>
      <c r="F308" s="631"/>
      <c r="G308" s="649"/>
      <c r="J308" s="634"/>
      <c r="K308" s="633"/>
    </row>
    <row r="309" spans="1:11" s="650" customFormat="1" ht="24.95" customHeight="1">
      <c r="A309" s="663" t="s">
        <v>3940</v>
      </c>
      <c r="B309" s="664" t="s">
        <v>4265</v>
      </c>
      <c r="C309" s="665" t="s">
        <v>4266</v>
      </c>
      <c r="D309" s="648">
        <f>+'Alimentazione SP P'!I211</f>
        <v>0</v>
      </c>
      <c r="E309" s="648">
        <f>+'Alimentazione SP P'!J211</f>
        <v>0</v>
      </c>
      <c r="F309" s="631"/>
      <c r="G309" s="649"/>
      <c r="J309" s="634"/>
      <c r="K309" s="633"/>
    </row>
    <row r="310" spans="1:11" s="650" customFormat="1" ht="24.95" customHeight="1">
      <c r="A310" s="663" t="s">
        <v>3940</v>
      </c>
      <c r="B310" s="664" t="s">
        <v>4267</v>
      </c>
      <c r="C310" s="665" t="s">
        <v>4268</v>
      </c>
      <c r="D310" s="648">
        <f>+'Alimentazione SP P'!I212</f>
        <v>0</v>
      </c>
      <c r="E310" s="648">
        <f>+'Alimentazione SP P'!J212</f>
        <v>0</v>
      </c>
      <c r="F310" s="631"/>
      <c r="G310" s="649"/>
      <c r="J310" s="634"/>
      <c r="K310" s="633"/>
    </row>
    <row r="311" spans="1:11" s="650" customFormat="1" ht="24.95" customHeight="1">
      <c r="A311" s="663" t="s">
        <v>3940</v>
      </c>
      <c r="B311" s="664" t="s">
        <v>4269</v>
      </c>
      <c r="C311" s="665" t="s">
        <v>4270</v>
      </c>
      <c r="D311" s="648">
        <f>+'Alimentazione SP P'!I213</f>
        <v>0</v>
      </c>
      <c r="E311" s="648">
        <f>+'Alimentazione SP P'!J213</f>
        <v>0</v>
      </c>
      <c r="F311" s="631"/>
      <c r="G311" s="649"/>
      <c r="J311" s="634"/>
      <c r="K311" s="633"/>
    </row>
    <row r="312" spans="1:11" s="650" customFormat="1" ht="24.95" customHeight="1">
      <c r="A312" s="663" t="s">
        <v>3940</v>
      </c>
      <c r="B312" s="664" t="s">
        <v>4271</v>
      </c>
      <c r="C312" s="665" t="s">
        <v>4272</v>
      </c>
      <c r="D312" s="648">
        <f>+'Alimentazione SP P'!I214</f>
        <v>0</v>
      </c>
      <c r="E312" s="648">
        <f>+'Alimentazione SP P'!J214</f>
        <v>0</v>
      </c>
      <c r="F312" s="631"/>
      <c r="G312" s="649"/>
      <c r="J312" s="634"/>
      <c r="K312" s="633"/>
    </row>
    <row r="313" spans="1:11" s="650" customFormat="1" ht="24.95" customHeight="1">
      <c r="A313" s="645"/>
      <c r="B313" s="709" t="s">
        <v>4273</v>
      </c>
      <c r="C313" s="710" t="s">
        <v>4274</v>
      </c>
      <c r="D313" s="648">
        <f>+D314+D315+D316</f>
        <v>77</v>
      </c>
      <c r="E313" s="648">
        <f>+E314+E315+E316</f>
        <v>77</v>
      </c>
      <c r="F313" s="631"/>
      <c r="G313" s="649"/>
      <c r="J313" s="634"/>
      <c r="K313" s="633"/>
    </row>
    <row r="314" spans="1:11" s="650" customFormat="1" ht="24.95" customHeight="1">
      <c r="A314" s="645"/>
      <c r="B314" s="652" t="s">
        <v>4275</v>
      </c>
      <c r="C314" s="653" t="s">
        <v>4276</v>
      </c>
      <c r="D314" s="648">
        <f>+'Alimentazione SP P'!I216</f>
        <v>0</v>
      </c>
      <c r="E314" s="648">
        <f>+'Alimentazione SP P'!J216</f>
        <v>0</v>
      </c>
      <c r="F314" s="631"/>
      <c r="G314" s="649"/>
      <c r="J314" s="634"/>
      <c r="K314" s="633"/>
    </row>
    <row r="315" spans="1:11" s="650" customFormat="1" ht="24.95" customHeight="1">
      <c r="A315" s="645"/>
      <c r="B315" s="652" t="s">
        <v>4277</v>
      </c>
      <c r="C315" s="653" t="s">
        <v>4278</v>
      </c>
      <c r="D315" s="648">
        <f>+'Alimentazione SP P'!I217</f>
        <v>0</v>
      </c>
      <c r="E315" s="648">
        <f>+'Alimentazione SP P'!J217</f>
        <v>0</v>
      </c>
      <c r="F315" s="631"/>
      <c r="G315" s="649"/>
      <c r="J315" s="634"/>
      <c r="K315" s="633"/>
    </row>
    <row r="316" spans="1:11" s="650" customFormat="1" ht="24.95" customHeight="1">
      <c r="A316" s="645"/>
      <c r="B316" s="652" t="s">
        <v>4279</v>
      </c>
      <c r="C316" s="653" t="s">
        <v>4280</v>
      </c>
      <c r="D316" s="648">
        <f>+'Alimentazione SP P'!I219+'Alimentazione SP P'!I220+'Alimentazione SP P'!I221</f>
        <v>77</v>
      </c>
      <c r="E316" s="648">
        <f>+'Alimentazione SP P'!J219+'Alimentazione SP P'!J220+'Alimentazione SP P'!J221</f>
        <v>77</v>
      </c>
      <c r="F316" s="631"/>
      <c r="G316" s="649"/>
      <c r="J316" s="634"/>
      <c r="K316" s="633"/>
    </row>
    <row r="317" spans="1:11" s="650" customFormat="1" ht="24.95" customHeight="1">
      <c r="A317" s="645"/>
      <c r="B317" s="709" t="s">
        <v>4281</v>
      </c>
      <c r="C317" s="710" t="s">
        <v>4282</v>
      </c>
      <c r="D317" s="648">
        <f>+D318+D321</f>
        <v>8963304</v>
      </c>
      <c r="E317" s="648">
        <f>+E318+E321</f>
        <v>10626764</v>
      </c>
      <c r="F317" s="631"/>
      <c r="G317" s="649"/>
      <c r="J317" s="634"/>
      <c r="K317" s="633"/>
    </row>
    <row r="318" spans="1:11" s="650" customFormat="1" ht="25.5">
      <c r="A318" s="645"/>
      <c r="B318" s="652" t="s">
        <v>4283</v>
      </c>
      <c r="C318" s="653" t="s">
        <v>4284</v>
      </c>
      <c r="D318" s="648">
        <f>+D319+D320</f>
        <v>0</v>
      </c>
      <c r="E318" s="648">
        <f>+E319+E320</f>
        <v>0</v>
      </c>
      <c r="F318" s="631"/>
      <c r="G318" s="649"/>
      <c r="J318" s="634"/>
      <c r="K318" s="633"/>
    </row>
    <row r="319" spans="1:11" s="650" customFormat="1" ht="21">
      <c r="A319" s="645"/>
      <c r="B319" s="720" t="s">
        <v>4285</v>
      </c>
      <c r="C319" s="733" t="s">
        <v>4286</v>
      </c>
      <c r="D319" s="648">
        <f>+'Alimentazione SP P'!I225+'Alimentazione SP P'!I226</f>
        <v>0</v>
      </c>
      <c r="E319" s="648">
        <f>+'Alimentazione SP P'!J225+'Alimentazione SP P'!J226</f>
        <v>0</v>
      </c>
      <c r="F319" s="631"/>
      <c r="G319" s="649"/>
      <c r="J319" s="634"/>
      <c r="K319" s="633"/>
    </row>
    <row r="320" spans="1:11" s="650" customFormat="1" ht="21">
      <c r="A320" s="645"/>
      <c r="B320" s="720" t="s">
        <v>4287</v>
      </c>
      <c r="C320" s="733" t="s">
        <v>4288</v>
      </c>
      <c r="D320" s="648">
        <f>+'Alimentazione SP P'!I227</f>
        <v>0</v>
      </c>
      <c r="E320" s="648">
        <f>+'Alimentazione SP P'!J227</f>
        <v>0</v>
      </c>
      <c r="F320" s="631"/>
      <c r="G320" s="649"/>
      <c r="J320" s="634"/>
      <c r="K320" s="633"/>
    </row>
    <row r="321" spans="1:11" s="650" customFormat="1" ht="21">
      <c r="A321" s="645"/>
      <c r="B321" s="720" t="s">
        <v>4289</v>
      </c>
      <c r="C321" s="733" t="s">
        <v>4290</v>
      </c>
      <c r="D321" s="648">
        <f>+D322+D323</f>
        <v>8963304</v>
      </c>
      <c r="E321" s="648">
        <f>+E322+E323</f>
        <v>10626764</v>
      </c>
      <c r="F321" s="631"/>
      <c r="G321" s="649"/>
      <c r="J321" s="634"/>
      <c r="K321" s="633"/>
    </row>
    <row r="322" spans="1:11" s="650" customFormat="1" ht="21">
      <c r="A322" s="645"/>
      <c r="B322" s="734" t="s">
        <v>4291</v>
      </c>
      <c r="C322" s="735" t="s">
        <v>4292</v>
      </c>
      <c r="D322" s="648">
        <f>+'Alimentazione SP P'!I230+'Alimentazione SP P'!I231+'Alimentazione SP P'!I232+'Alimentazione SP P'!I233+'Alimentazione SP P'!I234+'Alimentazione SP P'!I235</f>
        <v>9317599</v>
      </c>
      <c r="E322" s="648">
        <f>+'Alimentazione SP P'!J230+'Alimentazione SP P'!J231+'Alimentazione SP P'!J232+'Alimentazione SP P'!J233+'Alimentazione SP P'!J234+'Alimentazione SP P'!J235</f>
        <v>11057765</v>
      </c>
      <c r="F322" s="631"/>
      <c r="G322" s="649"/>
      <c r="J322" s="634"/>
      <c r="K322" s="633"/>
    </row>
    <row r="323" spans="1:11" s="650" customFormat="1" ht="21">
      <c r="A323" s="645"/>
      <c r="B323" s="734" t="s">
        <v>4293</v>
      </c>
      <c r="C323" s="735" t="s">
        <v>4294</v>
      </c>
      <c r="D323" s="648">
        <f>+'Alimentazione SP P'!I236</f>
        <v>-354295</v>
      </c>
      <c r="E323" s="648">
        <f>+'Alimentazione SP P'!J236</f>
        <v>-431001</v>
      </c>
      <c r="F323" s="631"/>
      <c r="G323" s="649"/>
      <c r="J323" s="634"/>
      <c r="K323" s="633"/>
    </row>
    <row r="324" spans="1:11" s="650" customFormat="1" ht="24.95" customHeight="1">
      <c r="A324" s="645"/>
      <c r="B324" s="709" t="s">
        <v>4295</v>
      </c>
      <c r="C324" s="710" t="s">
        <v>4296</v>
      </c>
      <c r="D324" s="648">
        <f>+'Alimentazione SP P'!I238+'Alimentazione SP P'!I239</f>
        <v>0</v>
      </c>
      <c r="E324" s="648">
        <f>+'Alimentazione SP P'!J238+'Alimentazione SP P'!J239</f>
        <v>0</v>
      </c>
      <c r="F324" s="631"/>
      <c r="G324" s="649"/>
      <c r="J324" s="634"/>
      <c r="K324" s="633"/>
    </row>
    <row r="325" spans="1:11" s="650" customFormat="1" ht="24.95" customHeight="1">
      <c r="A325" s="645"/>
      <c r="B325" s="709" t="s">
        <v>4297</v>
      </c>
      <c r="C325" s="710" t="s">
        <v>4298</v>
      </c>
      <c r="D325" s="648">
        <f>+SUM('Alimentazione SP P'!I241:I249)</f>
        <v>2391236</v>
      </c>
      <c r="E325" s="648">
        <f>+SUM('Alimentazione SP P'!J241:J249)</f>
        <v>2198117</v>
      </c>
      <c r="F325" s="631"/>
      <c r="G325" s="649"/>
      <c r="J325" s="634"/>
      <c r="K325" s="633"/>
    </row>
    <row r="326" spans="1:11" s="650" customFormat="1" ht="24.95" customHeight="1">
      <c r="A326" s="645"/>
      <c r="B326" s="709" t="s">
        <v>4299</v>
      </c>
      <c r="C326" s="710" t="s">
        <v>4300</v>
      </c>
      <c r="D326" s="648">
        <f>+SUM('Alimentazione SP P'!I251:I259)</f>
        <v>2061812</v>
      </c>
      <c r="E326" s="648">
        <f>+SUM('Alimentazione SP P'!J251:J259)</f>
        <v>1882677</v>
      </c>
      <c r="F326" s="631"/>
      <c r="G326" s="649"/>
      <c r="J326" s="634"/>
      <c r="K326" s="633"/>
    </row>
    <row r="327" spans="1:11" s="650" customFormat="1" ht="24.95" customHeight="1">
      <c r="A327" s="645"/>
      <c r="B327" s="709" t="s">
        <v>4301</v>
      </c>
      <c r="C327" s="710" t="s">
        <v>4302</v>
      </c>
      <c r="D327" s="648">
        <f>+D328+D329+D330+D331</f>
        <v>5913796</v>
      </c>
      <c r="E327" s="648">
        <f>+E328+E329+E330+E331</f>
        <v>4709211</v>
      </c>
      <c r="F327" s="631"/>
      <c r="G327" s="649"/>
      <c r="J327" s="634"/>
      <c r="K327" s="633"/>
    </row>
    <row r="328" spans="1:11" s="650" customFormat="1" ht="24.95" customHeight="1">
      <c r="A328" s="645"/>
      <c r="B328" s="652" t="s">
        <v>4303</v>
      </c>
      <c r="C328" s="653" t="s">
        <v>4304</v>
      </c>
      <c r="D328" s="648">
        <f>+'Alimentazione SP P'!I261</f>
        <v>0</v>
      </c>
      <c r="E328" s="648">
        <f>+'Alimentazione SP P'!J261</f>
        <v>0</v>
      </c>
      <c r="F328" s="631"/>
      <c r="G328" s="649"/>
      <c r="J328" s="634"/>
      <c r="K328" s="633"/>
    </row>
    <row r="329" spans="1:11" s="650" customFormat="1" ht="24.95" customHeight="1">
      <c r="A329" s="645"/>
      <c r="B329" s="652" t="s">
        <v>4305</v>
      </c>
      <c r="C329" s="653" t="s">
        <v>4306</v>
      </c>
      <c r="D329" s="648">
        <f>+'Alimentazione SP P'!I263+'Alimentazione SP P'!I264</f>
        <v>4481514</v>
      </c>
      <c r="E329" s="648">
        <f>+'Alimentazione SP P'!J263+'Alimentazione SP P'!J264</f>
        <v>3422194</v>
      </c>
      <c r="F329" s="631"/>
      <c r="G329" s="649"/>
      <c r="J329" s="634"/>
      <c r="K329" s="633"/>
    </row>
    <row r="330" spans="1:11" s="650" customFormat="1" ht="24.95" customHeight="1">
      <c r="A330" s="645"/>
      <c r="B330" s="652" t="s">
        <v>4307</v>
      </c>
      <c r="C330" s="653" t="s">
        <v>4308</v>
      </c>
      <c r="D330" s="648">
        <f>+'Alimentazione SP P'!I266+'Alimentazione SP P'!I267</f>
        <v>0</v>
      </c>
      <c r="E330" s="648">
        <f>+'Alimentazione SP P'!J266+'Alimentazione SP P'!J267</f>
        <v>0</v>
      </c>
      <c r="F330" s="631"/>
      <c r="G330" s="649"/>
      <c r="J330" s="634"/>
      <c r="K330" s="633"/>
    </row>
    <row r="331" spans="1:11" s="650" customFormat="1" ht="24.95" customHeight="1" thickBot="1">
      <c r="A331" s="655"/>
      <c r="B331" s="693" t="s">
        <v>4309</v>
      </c>
      <c r="C331" s="694" t="s">
        <v>4310</v>
      </c>
      <c r="D331" s="648">
        <f>+SUM('Alimentazione SP P'!I269:I288)</f>
        <v>1432282</v>
      </c>
      <c r="E331" s="648">
        <f>+SUM('Alimentazione SP P'!J269:J288)</f>
        <v>1287017</v>
      </c>
      <c r="F331" s="667"/>
      <c r="G331" s="679"/>
      <c r="J331" s="634"/>
      <c r="K331" s="633"/>
    </row>
    <row r="332" spans="1:11" s="650" customFormat="1" ht="24.95" customHeight="1">
      <c r="A332" s="701"/>
      <c r="B332" s="628" t="s">
        <v>4311</v>
      </c>
      <c r="C332" s="629" t="s">
        <v>4312</v>
      </c>
      <c r="D332" s="662">
        <f>+D333+D336</f>
        <v>15795</v>
      </c>
      <c r="E332" s="662">
        <f>+E333+E336</f>
        <v>0</v>
      </c>
      <c r="F332" s="631"/>
      <c r="G332" s="649"/>
      <c r="J332" s="634"/>
      <c r="K332" s="633"/>
    </row>
    <row r="333" spans="1:11" s="650" customFormat="1" ht="24.95" customHeight="1">
      <c r="A333" s="645"/>
      <c r="B333" s="709" t="s">
        <v>4313</v>
      </c>
      <c r="C333" s="710" t="s">
        <v>4314</v>
      </c>
      <c r="D333" s="648">
        <f>+D334+D335</f>
        <v>15795</v>
      </c>
      <c r="E333" s="648">
        <f>+E334+E335</f>
        <v>0</v>
      </c>
      <c r="F333" s="631"/>
      <c r="G333" s="649"/>
      <c r="J333" s="634"/>
      <c r="K333" s="633"/>
    </row>
    <row r="334" spans="1:11" s="650" customFormat="1" ht="24.95" customHeight="1">
      <c r="A334" s="645"/>
      <c r="B334" s="652" t="s">
        <v>4315</v>
      </c>
      <c r="C334" s="653" t="s">
        <v>4316</v>
      </c>
      <c r="D334" s="648">
        <f>+'Alimentazione SP P'!I291</f>
        <v>15795</v>
      </c>
      <c r="E334" s="648">
        <f>+'Alimentazione SP P'!J291</f>
        <v>0</v>
      </c>
      <c r="F334" s="631"/>
      <c r="G334" s="649"/>
      <c r="J334" s="634"/>
      <c r="K334" s="633"/>
    </row>
    <row r="335" spans="1:11" s="650" customFormat="1" ht="24.95" customHeight="1">
      <c r="A335" s="695" t="s">
        <v>1530</v>
      </c>
      <c r="B335" s="652" t="s">
        <v>4317</v>
      </c>
      <c r="C335" s="653" t="s">
        <v>4318</v>
      </c>
      <c r="D335" s="648">
        <f>+'Alimentazione SP P'!I292</f>
        <v>0</v>
      </c>
      <c r="E335" s="648">
        <f>+'Alimentazione SP P'!J292</f>
        <v>0</v>
      </c>
      <c r="F335" s="631"/>
      <c r="G335" s="649"/>
      <c r="J335" s="634"/>
      <c r="K335" s="633"/>
    </row>
    <row r="336" spans="1:11" s="650" customFormat="1" ht="24.95" customHeight="1">
      <c r="A336" s="645"/>
      <c r="B336" s="709" t="s">
        <v>4319</v>
      </c>
      <c r="C336" s="710" t="s">
        <v>4320</v>
      </c>
      <c r="D336" s="648">
        <f>+D337+D338+D339</f>
        <v>0</v>
      </c>
      <c r="E336" s="648">
        <f>+E337+E338+E339</f>
        <v>0</v>
      </c>
      <c r="F336" s="631"/>
      <c r="G336" s="649"/>
      <c r="J336" s="634"/>
      <c r="K336" s="633"/>
    </row>
    <row r="337" spans="1:20" s="650" customFormat="1" ht="24.95" customHeight="1">
      <c r="A337" s="645"/>
      <c r="B337" s="652" t="s">
        <v>4321</v>
      </c>
      <c r="C337" s="653" t="s">
        <v>4322</v>
      </c>
      <c r="D337" s="648">
        <f>+'Alimentazione SP P'!I294</f>
        <v>0</v>
      </c>
      <c r="E337" s="648">
        <f>+'Alimentazione SP P'!J294</f>
        <v>0</v>
      </c>
      <c r="F337" s="631"/>
      <c r="G337" s="649"/>
      <c r="J337" s="634"/>
      <c r="K337" s="633"/>
    </row>
    <row r="338" spans="1:20" s="650" customFormat="1" ht="24.95" customHeight="1">
      <c r="A338" s="736" t="s">
        <v>1530</v>
      </c>
      <c r="B338" s="717" t="s">
        <v>4323</v>
      </c>
      <c r="C338" s="718" t="s">
        <v>4324</v>
      </c>
      <c r="D338" s="648">
        <f>+'Alimentazione SP P'!I295</f>
        <v>0</v>
      </c>
      <c r="E338" s="648">
        <f>+'Alimentazione SP P'!J295</f>
        <v>0</v>
      </c>
      <c r="F338" s="631"/>
      <c r="G338" s="649"/>
      <c r="J338" s="634"/>
      <c r="K338" s="633"/>
    </row>
    <row r="339" spans="1:20" s="678" customFormat="1" ht="37.5" customHeight="1">
      <c r="A339" s="645"/>
      <c r="B339" s="652" t="s">
        <v>4325</v>
      </c>
      <c r="C339" s="653" t="s">
        <v>4326</v>
      </c>
      <c r="D339" s="648">
        <f>+'Alimentazione SP P'!I296</f>
        <v>0</v>
      </c>
      <c r="E339" s="648">
        <f>+'Alimentazione SP P'!J296</f>
        <v>0</v>
      </c>
      <c r="F339" s="631"/>
      <c r="G339" s="649"/>
      <c r="J339" s="634"/>
      <c r="K339" s="633"/>
    </row>
    <row r="340" spans="1:20" s="650" customFormat="1" ht="24.95" customHeight="1" thickBot="1">
      <c r="A340" s="697"/>
      <c r="B340" s="737" t="s">
        <v>4327</v>
      </c>
      <c r="C340" s="738" t="s">
        <v>4328</v>
      </c>
      <c r="D340" s="739">
        <f>+D332+D275+D271+D238+D214</f>
        <v>113493994</v>
      </c>
      <c r="E340" s="739">
        <f>+E332+E275+E271+E238+E214</f>
        <v>111563634</v>
      </c>
      <c r="F340" s="631"/>
      <c r="G340" s="649"/>
      <c r="J340" s="634"/>
      <c r="K340" s="633"/>
    </row>
    <row r="341" spans="1:20" s="650" customFormat="1" ht="24.95" customHeight="1">
      <c r="A341" s="701"/>
      <c r="B341" s="628" t="s">
        <v>4329</v>
      </c>
      <c r="C341" s="702" t="s">
        <v>4330</v>
      </c>
      <c r="D341" s="703">
        <f>+D342+D343+D344+D345+D346</f>
        <v>2806963</v>
      </c>
      <c r="E341" s="703">
        <f>+E342+E343+E344+E345+E346</f>
        <v>2898397</v>
      </c>
      <c r="F341" s="631"/>
      <c r="G341" s="649"/>
      <c r="J341" s="634"/>
      <c r="K341" s="633"/>
    </row>
    <row r="342" spans="1:20" s="650" customFormat="1" ht="24.95" customHeight="1">
      <c r="A342" s="645"/>
      <c r="B342" s="704" t="s">
        <v>4331</v>
      </c>
      <c r="C342" s="705" t="s">
        <v>4332</v>
      </c>
      <c r="D342" s="648">
        <f>+'Alimentazione SP P'!I303</f>
        <v>66479</v>
      </c>
      <c r="E342" s="648">
        <f>+'Alimentazione SP P'!J303</f>
        <v>116759</v>
      </c>
      <c r="F342" s="631"/>
      <c r="G342" s="649"/>
      <c r="J342" s="634"/>
      <c r="K342" s="633"/>
    </row>
    <row r="343" spans="1:20" s="650" customFormat="1" ht="24.95" customHeight="1">
      <c r="A343" s="645"/>
      <c r="B343" s="704" t="s">
        <v>4333</v>
      </c>
      <c r="C343" s="705" t="s">
        <v>4334</v>
      </c>
      <c r="D343" s="648">
        <f>+'Alimentazione SP P'!I304</f>
        <v>0</v>
      </c>
      <c r="E343" s="648">
        <f>+'Alimentazione SP P'!J304</f>
        <v>0</v>
      </c>
      <c r="F343" s="631"/>
      <c r="G343" s="649"/>
      <c r="J343" s="634"/>
      <c r="K343" s="633"/>
    </row>
    <row r="344" spans="1:20" s="650" customFormat="1" ht="24.95" customHeight="1">
      <c r="A344" s="645"/>
      <c r="B344" s="704" t="s">
        <v>4335</v>
      </c>
      <c r="C344" s="705" t="s">
        <v>4336</v>
      </c>
      <c r="D344" s="648">
        <f>+'Alimentazione SP P'!I305</f>
        <v>1463350</v>
      </c>
      <c r="E344" s="648">
        <f>+'Alimentazione SP P'!J305</f>
        <v>0</v>
      </c>
      <c r="F344" s="631"/>
      <c r="G344" s="649"/>
      <c r="J344" s="634"/>
      <c r="K344" s="633"/>
    </row>
    <row r="345" spans="1:20" s="650" customFormat="1" ht="24.95" customHeight="1">
      <c r="A345" s="706"/>
      <c r="B345" s="704" t="s">
        <v>4337</v>
      </c>
      <c r="C345" s="705" t="s">
        <v>4338</v>
      </c>
      <c r="D345" s="648">
        <f>+'Alimentazione SP P'!I306</f>
        <v>0</v>
      </c>
      <c r="E345" s="648">
        <f>+'Alimentazione SP P'!J306</f>
        <v>0</v>
      </c>
      <c r="F345" s="631"/>
      <c r="G345" s="649"/>
      <c r="J345" s="634"/>
      <c r="K345" s="633"/>
    </row>
    <row r="346" spans="1:20" s="650" customFormat="1" ht="24.95" customHeight="1" thickBot="1">
      <c r="A346" s="655"/>
      <c r="B346" s="707" t="s">
        <v>4339</v>
      </c>
      <c r="C346" s="708" t="s">
        <v>4340</v>
      </c>
      <c r="D346" s="740">
        <f>+'Alimentazione SP P'!I308+'Alimentazione SP P'!I309+'Alimentazione SP P'!I310+'Alimentazione SP P'!I311+'Alimentazione SP P'!I312+'Alimentazione SP P'!I313+'Alimentazione SP P'!I314</f>
        <v>1277134</v>
      </c>
      <c r="E346" s="740">
        <f>+'Alimentazione SP P'!J308+'Alimentazione SP P'!J309+'Alimentazione SP P'!J310+'Alimentazione SP P'!J311+'Alimentazione SP P'!J312+'Alimentazione SP P'!J313+'Alimentazione SP P'!J314</f>
        <v>2781638</v>
      </c>
      <c r="F346" s="631"/>
      <c r="G346" s="649"/>
      <c r="J346" s="634"/>
      <c r="K346" s="633"/>
    </row>
    <row r="347" spans="1:20" customFormat="1" ht="12.75">
      <c r="A347" s="127"/>
      <c r="B347" s="126"/>
      <c r="C347" s="127"/>
      <c r="D347" s="127"/>
      <c r="E347" s="127"/>
      <c r="F347" s="127"/>
      <c r="G347" s="127"/>
      <c r="H347" s="127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388"/>
    </row>
    <row r="348" spans="1:20" customFormat="1" ht="12.75">
      <c r="A348" s="127"/>
      <c r="B348" s="74" t="s">
        <v>2098</v>
      </c>
      <c r="C348" s="127"/>
      <c r="D348" s="127"/>
      <c r="E348" s="127"/>
      <c r="F348" s="127"/>
      <c r="G348" s="127"/>
      <c r="H348" s="127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388"/>
    </row>
    <row r="349" spans="1:20" customFormat="1" ht="15">
      <c r="A349" s="389"/>
      <c r="B349" s="57"/>
      <c r="C349" s="127"/>
      <c r="D349" s="127"/>
      <c r="E349" s="127"/>
      <c r="F349" s="127"/>
      <c r="G349" s="127"/>
      <c r="H349" s="127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388"/>
    </row>
    <row r="350" spans="1:20" customFormat="1" ht="12.75">
      <c r="A350" s="389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390"/>
    </row>
    <row r="351" spans="1:20" customFormat="1" ht="12.75">
      <c r="A351" s="389"/>
      <c r="B351" s="67" t="s">
        <v>2099</v>
      </c>
      <c r="C351" s="128"/>
      <c r="D351" s="128" t="s">
        <v>3462</v>
      </c>
      <c r="E351" s="128"/>
      <c r="G351" s="128"/>
      <c r="H351" s="128"/>
      <c r="I351" s="128"/>
      <c r="L351" s="128"/>
      <c r="M351" s="128"/>
      <c r="N351" s="128"/>
      <c r="O351" s="128"/>
      <c r="P351" s="128"/>
      <c r="Q351" s="128"/>
      <c r="R351" s="74"/>
      <c r="S351" s="74"/>
      <c r="T351" s="358"/>
    </row>
    <row r="352" spans="1:20" customFormat="1" ht="12.75">
      <c r="A352" s="127"/>
      <c r="B352" s="74"/>
      <c r="C352" s="74"/>
      <c r="D352" s="74"/>
      <c r="E352" s="74"/>
      <c r="F352" s="74"/>
      <c r="G352" s="74"/>
      <c r="H352" s="74"/>
      <c r="I352" s="74"/>
      <c r="L352" s="74"/>
      <c r="M352" s="74"/>
      <c r="N352" s="74"/>
      <c r="O352" s="74"/>
      <c r="P352" s="74"/>
      <c r="Q352" s="74"/>
      <c r="R352" s="74"/>
      <c r="S352" s="74"/>
      <c r="T352" s="390"/>
    </row>
    <row r="353" spans="1:27" customFormat="1" ht="15">
      <c r="A353" s="127"/>
      <c r="B353" s="67" t="s">
        <v>2100</v>
      </c>
      <c r="C353" s="127"/>
      <c r="D353" s="128" t="s">
        <v>2100</v>
      </c>
      <c r="E353" s="128"/>
      <c r="F353" s="128"/>
      <c r="G353" s="128"/>
      <c r="H353" s="128"/>
      <c r="I353" s="128"/>
      <c r="L353" s="128"/>
      <c r="M353" s="128"/>
      <c r="N353" s="128"/>
      <c r="O353" s="128"/>
      <c r="P353" s="128"/>
      <c r="Q353" s="128"/>
      <c r="R353" s="128"/>
      <c r="S353" s="128"/>
      <c r="T353" s="391"/>
    </row>
    <row r="354" spans="1:27" customFormat="1" ht="12.75">
      <c r="A354" s="127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390"/>
    </row>
    <row r="355" spans="1:27" customFormat="1" ht="12.75">
      <c r="A355" s="127"/>
      <c r="B355" s="74"/>
      <c r="C355" s="74"/>
      <c r="D355" s="128" t="s">
        <v>3463</v>
      </c>
      <c r="E355" s="74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390"/>
    </row>
    <row r="356" spans="1:27" customFormat="1" ht="15">
      <c r="A356" s="127"/>
      <c r="B356" s="74"/>
      <c r="C356" s="74"/>
      <c r="E356" s="128"/>
      <c r="F356" s="128"/>
      <c r="N356" s="58"/>
      <c r="O356" s="58"/>
      <c r="P356" s="58"/>
      <c r="Q356" s="58"/>
      <c r="R356" s="58"/>
      <c r="T356" s="390"/>
    </row>
    <row r="357" spans="1:27" customFormat="1" ht="15">
      <c r="A357" s="58"/>
      <c r="B357" s="57"/>
      <c r="C357" s="128"/>
      <c r="D357" s="128" t="s">
        <v>2100</v>
      </c>
      <c r="E357" s="74"/>
      <c r="F357" s="74"/>
      <c r="N357" s="58"/>
      <c r="O357" s="58"/>
      <c r="P357" s="58"/>
      <c r="Q357" s="58"/>
      <c r="R357" s="58"/>
      <c r="T357" s="391"/>
    </row>
    <row r="358" spans="1:27" customFormat="1" ht="15">
      <c r="A358" s="58"/>
      <c r="B358" s="74"/>
      <c r="C358" s="74"/>
      <c r="D358" s="74"/>
      <c r="E358" s="74"/>
      <c r="N358" s="58"/>
      <c r="O358" s="58"/>
      <c r="P358" s="58"/>
      <c r="Q358" s="58"/>
      <c r="R358" s="58"/>
      <c r="T358" s="390"/>
    </row>
    <row r="359" spans="1:27" customFormat="1" ht="15">
      <c r="A359" s="58"/>
      <c r="C359" s="58"/>
      <c r="D359" s="58"/>
      <c r="E359" s="58"/>
      <c r="F359" s="128"/>
      <c r="G359" s="128"/>
      <c r="H359" s="128"/>
      <c r="N359" s="58"/>
      <c r="O359" s="58"/>
      <c r="P359" s="58"/>
      <c r="Q359" s="58"/>
      <c r="R359" s="58"/>
      <c r="U359" s="58"/>
    </row>
    <row r="360" spans="1:27" customFormat="1" ht="15">
      <c r="N360" s="58"/>
      <c r="O360" s="58"/>
      <c r="P360" s="58"/>
      <c r="Q360" s="58"/>
      <c r="R360" s="58"/>
    </row>
    <row r="361" spans="1:27" customFormat="1" ht="15">
      <c r="S361" s="58"/>
      <c r="T361" s="58"/>
      <c r="U361" s="58"/>
      <c r="V361" s="58"/>
      <c r="W361" s="58"/>
    </row>
    <row r="362" spans="1:27" customFormat="1" ht="15">
      <c r="S362" s="59"/>
      <c r="T362" s="59"/>
      <c r="U362" s="59"/>
      <c r="V362" s="59"/>
      <c r="W362" s="59"/>
    </row>
    <row r="363" spans="1:27" customFormat="1" ht="15">
      <c r="S363" s="59"/>
      <c r="T363" s="59"/>
      <c r="U363" s="59"/>
      <c r="V363" s="59"/>
      <c r="W363" s="59"/>
    </row>
    <row r="364" spans="1:27" s="123" customFormat="1">
      <c r="A364" s="73"/>
      <c r="B364" s="73"/>
      <c r="C364" s="72"/>
      <c r="D364" s="577"/>
      <c r="E364" s="72"/>
      <c r="F364" s="615"/>
      <c r="G364" s="741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</row>
    <row r="365" spans="1:27" s="123" customFormat="1">
      <c r="A365" s="73"/>
      <c r="B365" s="73"/>
      <c r="C365" s="72"/>
      <c r="D365" s="577"/>
      <c r="E365" s="72"/>
      <c r="F365" s="615"/>
      <c r="G365" s="741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</row>
    <row r="366" spans="1:27" s="123" customFormat="1">
      <c r="A366" s="73"/>
      <c r="B366" s="73"/>
      <c r="C366" s="72"/>
      <c r="D366" s="577"/>
      <c r="E366" s="72"/>
      <c r="F366" s="615"/>
      <c r="G366" s="741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</row>
    <row r="367" spans="1:27" s="123" customFormat="1">
      <c r="A367" s="73"/>
      <c r="B367" s="73"/>
      <c r="C367" s="72"/>
      <c r="D367" s="577"/>
      <c r="E367" s="72"/>
      <c r="F367" s="615"/>
      <c r="G367" s="741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</row>
    <row r="368" spans="1:27" s="123" customFormat="1">
      <c r="A368" s="73"/>
      <c r="B368" s="73"/>
      <c r="C368" s="72"/>
      <c r="D368" s="577"/>
      <c r="E368" s="72"/>
      <c r="F368" s="615"/>
      <c r="G368" s="741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</row>
    <row r="369" spans="1:27" s="123" customFormat="1">
      <c r="A369" s="73"/>
      <c r="B369" s="73"/>
      <c r="C369" s="72"/>
      <c r="D369" s="577"/>
      <c r="E369" s="72"/>
      <c r="F369" s="615"/>
      <c r="G369" s="741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</row>
    <row r="370" spans="1:27" s="123" customFormat="1">
      <c r="A370" s="73"/>
      <c r="B370" s="73"/>
      <c r="C370" s="72"/>
      <c r="D370" s="577"/>
      <c r="E370" s="72"/>
      <c r="F370" s="615"/>
      <c r="G370" s="741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</row>
    <row r="371" spans="1:27" s="123" customFormat="1">
      <c r="A371" s="73"/>
      <c r="B371" s="73"/>
      <c r="C371" s="72"/>
      <c r="D371" s="577"/>
      <c r="E371" s="72"/>
      <c r="F371" s="615"/>
      <c r="G371" s="741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</row>
    <row r="372" spans="1:27" s="123" customFormat="1">
      <c r="A372" s="73"/>
      <c r="B372" s="73"/>
      <c r="C372" s="72"/>
      <c r="D372" s="577"/>
      <c r="E372" s="72"/>
      <c r="F372" s="615"/>
      <c r="G372" s="741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</row>
    <row r="373" spans="1:27" s="123" customFormat="1">
      <c r="A373" s="73"/>
      <c r="B373" s="73"/>
      <c r="C373" s="72"/>
      <c r="D373" s="577"/>
      <c r="E373" s="72"/>
      <c r="F373" s="615"/>
      <c r="G373" s="741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</row>
    <row r="374" spans="1:27" s="123" customFormat="1">
      <c r="A374" s="73"/>
      <c r="B374" s="73"/>
      <c r="C374" s="72"/>
      <c r="D374" s="577"/>
      <c r="E374" s="72"/>
      <c r="F374" s="615"/>
      <c r="G374" s="741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</row>
    <row r="375" spans="1:27" s="123" customFormat="1">
      <c r="A375" s="73"/>
      <c r="B375" s="73"/>
      <c r="C375" s="72"/>
      <c r="D375" s="577"/>
      <c r="E375" s="72"/>
      <c r="F375" s="615"/>
      <c r="G375" s="741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</row>
    <row r="376" spans="1:27" s="123" customFormat="1">
      <c r="A376" s="73"/>
      <c r="B376" s="73"/>
      <c r="C376" s="72"/>
      <c r="D376" s="577"/>
      <c r="E376" s="72"/>
      <c r="F376" s="615"/>
      <c r="G376" s="741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</row>
    <row r="377" spans="1:27" s="123" customFormat="1">
      <c r="A377" s="73"/>
      <c r="B377" s="73"/>
      <c r="C377" s="72"/>
      <c r="D377" s="577"/>
      <c r="E377" s="72"/>
      <c r="F377" s="615"/>
      <c r="G377" s="741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</row>
    <row r="378" spans="1:27" s="123" customFormat="1">
      <c r="A378" s="73"/>
      <c r="B378" s="73"/>
      <c r="C378" s="72"/>
      <c r="D378" s="577"/>
      <c r="E378" s="72"/>
      <c r="F378" s="615"/>
      <c r="G378" s="741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</row>
    <row r="379" spans="1:27" s="123" customFormat="1">
      <c r="A379" s="73"/>
      <c r="B379" s="73"/>
      <c r="C379" s="72"/>
      <c r="D379" s="577"/>
      <c r="E379" s="72"/>
      <c r="F379" s="615"/>
      <c r="G379" s="741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</row>
    <row r="380" spans="1:27" s="123" customFormat="1">
      <c r="A380" s="73"/>
      <c r="B380" s="73"/>
      <c r="C380" s="72"/>
      <c r="D380" s="577"/>
      <c r="E380" s="72"/>
      <c r="F380" s="615"/>
      <c r="G380" s="741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</row>
    <row r="381" spans="1:27" s="123" customFormat="1">
      <c r="A381" s="73"/>
      <c r="B381" s="73"/>
      <c r="C381" s="72"/>
      <c r="D381" s="577"/>
      <c r="E381" s="72"/>
      <c r="F381" s="615"/>
      <c r="G381" s="741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</row>
    <row r="382" spans="1:27" s="123" customFormat="1">
      <c r="A382" s="73"/>
      <c r="B382" s="73"/>
      <c r="C382" s="72"/>
      <c r="D382" s="577"/>
      <c r="E382" s="72"/>
      <c r="F382" s="615"/>
      <c r="G382" s="741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</row>
    <row r="383" spans="1:27" s="123" customFormat="1">
      <c r="A383" s="73"/>
      <c r="B383" s="73"/>
      <c r="C383" s="72"/>
      <c r="D383" s="577"/>
      <c r="E383" s="72"/>
      <c r="F383" s="615"/>
      <c r="G383" s="741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</row>
    <row r="384" spans="1:27" s="123" customFormat="1">
      <c r="A384" s="73"/>
      <c r="B384" s="73"/>
      <c r="C384" s="72"/>
      <c r="D384" s="577"/>
      <c r="E384" s="72"/>
      <c r="F384" s="615"/>
      <c r="G384" s="741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</row>
    <row r="385" spans="1:27" s="123" customFormat="1">
      <c r="A385" s="73"/>
      <c r="B385" s="73"/>
      <c r="C385" s="72"/>
      <c r="D385" s="577"/>
      <c r="E385" s="72"/>
      <c r="F385" s="615"/>
      <c r="G385" s="741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</row>
    <row r="386" spans="1:27" s="123" customFormat="1">
      <c r="A386" s="73"/>
      <c r="B386" s="73"/>
      <c r="C386" s="72"/>
      <c r="D386" s="577"/>
      <c r="E386" s="72"/>
      <c r="F386" s="615"/>
      <c r="G386" s="741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</row>
    <row r="387" spans="1:27" s="123" customFormat="1">
      <c r="A387" s="73"/>
      <c r="B387" s="73"/>
      <c r="C387" s="72"/>
      <c r="D387" s="577"/>
      <c r="E387" s="72"/>
      <c r="F387" s="615"/>
      <c r="G387" s="741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</row>
    <row r="388" spans="1:27" s="123" customFormat="1">
      <c r="A388" s="73"/>
      <c r="B388" s="73"/>
      <c r="C388" s="72"/>
      <c r="D388" s="577"/>
      <c r="E388" s="72"/>
      <c r="F388" s="615"/>
      <c r="G388" s="741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</row>
    <row r="389" spans="1:27" s="123" customFormat="1">
      <c r="A389" s="73"/>
      <c r="B389" s="73"/>
      <c r="C389" s="72"/>
      <c r="D389" s="577"/>
      <c r="E389" s="72"/>
      <c r="F389" s="615"/>
      <c r="G389" s="741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</row>
    <row r="390" spans="1:27" s="123" customFormat="1">
      <c r="A390" s="73"/>
      <c r="B390" s="73"/>
      <c r="C390" s="72"/>
      <c r="D390" s="577"/>
      <c r="E390" s="72"/>
      <c r="F390" s="615"/>
      <c r="G390" s="741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</row>
    <row r="391" spans="1:27" s="123" customFormat="1">
      <c r="A391" s="73"/>
      <c r="B391" s="73"/>
      <c r="C391" s="72"/>
      <c r="D391" s="577"/>
      <c r="E391" s="72"/>
      <c r="F391" s="615"/>
      <c r="G391" s="741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</row>
    <row r="392" spans="1:27" s="123" customFormat="1">
      <c r="A392" s="73"/>
      <c r="B392" s="73"/>
      <c r="C392" s="72"/>
      <c r="D392" s="577"/>
      <c r="E392" s="72"/>
      <c r="F392" s="615"/>
      <c r="G392" s="741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</row>
    <row r="393" spans="1:27" s="123" customFormat="1">
      <c r="A393" s="73"/>
      <c r="B393" s="73"/>
      <c r="C393" s="72"/>
      <c r="D393" s="577"/>
      <c r="E393" s="72"/>
      <c r="F393" s="615"/>
      <c r="G393" s="741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</row>
    <row r="394" spans="1:27" s="123" customFormat="1">
      <c r="A394" s="73"/>
      <c r="B394" s="73"/>
      <c r="C394" s="72"/>
      <c r="D394" s="577"/>
      <c r="E394" s="72"/>
      <c r="F394" s="615"/>
      <c r="G394" s="741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</row>
    <row r="395" spans="1:27" s="123" customFormat="1">
      <c r="A395" s="73"/>
      <c r="B395" s="73"/>
      <c r="C395" s="72"/>
      <c r="D395" s="577"/>
      <c r="E395" s="72"/>
      <c r="F395" s="615"/>
      <c r="G395" s="741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</row>
    <row r="396" spans="1:27" s="123" customFormat="1">
      <c r="A396" s="73"/>
      <c r="B396" s="73"/>
      <c r="C396" s="72"/>
      <c r="D396" s="577"/>
      <c r="E396" s="72"/>
      <c r="F396" s="615"/>
      <c r="G396" s="741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</row>
    <row r="397" spans="1:27" s="123" customFormat="1">
      <c r="A397" s="73"/>
      <c r="B397" s="73"/>
      <c r="C397" s="72"/>
      <c r="D397" s="577"/>
      <c r="E397" s="72"/>
      <c r="F397" s="615"/>
      <c r="G397" s="741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</row>
    <row r="398" spans="1:27" s="123" customFormat="1">
      <c r="A398" s="73"/>
      <c r="B398" s="73"/>
      <c r="C398" s="72"/>
      <c r="D398" s="577"/>
      <c r="E398" s="72"/>
      <c r="F398" s="615"/>
      <c r="G398" s="741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</row>
    <row r="399" spans="1:27" s="123" customFormat="1">
      <c r="A399" s="73"/>
      <c r="B399" s="73"/>
      <c r="C399" s="72"/>
      <c r="D399" s="577"/>
      <c r="E399" s="72"/>
      <c r="F399" s="615"/>
      <c r="G399" s="741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</row>
    <row r="400" spans="1:27" s="123" customFormat="1">
      <c r="A400" s="73"/>
      <c r="B400" s="73"/>
      <c r="C400" s="72"/>
      <c r="D400" s="577"/>
      <c r="E400" s="72"/>
      <c r="F400" s="615"/>
      <c r="G400" s="741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</row>
    <row r="401" spans="1:27" s="123" customFormat="1">
      <c r="A401" s="73"/>
      <c r="B401" s="73"/>
      <c r="C401" s="72"/>
      <c r="D401" s="577"/>
      <c r="E401" s="72"/>
      <c r="F401" s="615"/>
      <c r="G401" s="741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1:27" s="123" customFormat="1">
      <c r="A402" s="73"/>
      <c r="B402" s="73"/>
      <c r="C402" s="72"/>
      <c r="D402" s="577"/>
      <c r="E402" s="72"/>
      <c r="F402" s="615"/>
      <c r="G402" s="741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</row>
    <row r="403" spans="1:27" s="123" customFormat="1">
      <c r="A403" s="73"/>
      <c r="B403" s="73"/>
      <c r="C403" s="72"/>
      <c r="D403" s="577"/>
      <c r="E403" s="72"/>
      <c r="F403" s="615"/>
      <c r="G403" s="741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</row>
    <row r="404" spans="1:27" s="123" customFormat="1">
      <c r="A404" s="73"/>
      <c r="B404" s="73"/>
      <c r="C404" s="72"/>
      <c r="D404" s="577"/>
      <c r="E404" s="72"/>
      <c r="F404" s="615"/>
      <c r="G404" s="741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</row>
    <row r="405" spans="1:27" s="123" customFormat="1">
      <c r="A405" s="73"/>
      <c r="B405" s="73"/>
      <c r="C405" s="72"/>
      <c r="D405" s="577"/>
      <c r="E405" s="72"/>
      <c r="F405" s="615"/>
      <c r="G405" s="741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</row>
    <row r="406" spans="1:27" s="123" customFormat="1">
      <c r="A406" s="73"/>
      <c r="B406" s="73"/>
      <c r="C406" s="72"/>
      <c r="D406" s="577"/>
      <c r="E406" s="72"/>
      <c r="F406" s="615"/>
      <c r="G406" s="741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</row>
    <row r="407" spans="1:27" s="123" customFormat="1">
      <c r="A407" s="73"/>
      <c r="B407" s="73"/>
      <c r="C407" s="72"/>
      <c r="D407" s="577"/>
      <c r="E407" s="72"/>
      <c r="F407" s="615"/>
      <c r="G407" s="741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</row>
    <row r="408" spans="1:27" s="123" customFormat="1">
      <c r="A408" s="73"/>
      <c r="B408" s="73"/>
      <c r="C408" s="72"/>
      <c r="D408" s="577"/>
      <c r="E408" s="72"/>
      <c r="F408" s="615"/>
      <c r="G408" s="741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</row>
    <row r="409" spans="1:27" s="123" customFormat="1">
      <c r="A409" s="73"/>
      <c r="B409" s="73"/>
      <c r="C409" s="72"/>
      <c r="D409" s="577"/>
      <c r="E409" s="72"/>
      <c r="F409" s="615"/>
      <c r="G409" s="741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</row>
    <row r="410" spans="1:27" s="123" customFormat="1">
      <c r="A410" s="73"/>
      <c r="B410" s="73"/>
      <c r="C410" s="72"/>
      <c r="D410" s="577"/>
      <c r="E410" s="72"/>
      <c r="F410" s="615"/>
      <c r="G410" s="741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</row>
    <row r="411" spans="1:27" s="123" customFormat="1">
      <c r="A411" s="73"/>
      <c r="B411" s="73"/>
      <c r="C411" s="72"/>
      <c r="D411" s="577"/>
      <c r="E411" s="72"/>
      <c r="F411" s="615"/>
      <c r="G411" s="741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</row>
    <row r="412" spans="1:27" s="123" customFormat="1">
      <c r="A412" s="73"/>
      <c r="B412" s="73"/>
      <c r="C412" s="72"/>
      <c r="D412" s="577"/>
      <c r="E412" s="72"/>
      <c r="F412" s="615"/>
      <c r="G412" s="741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</row>
    <row r="413" spans="1:27" s="123" customFormat="1">
      <c r="A413" s="73"/>
      <c r="B413" s="73"/>
      <c r="C413" s="72"/>
      <c r="D413" s="577"/>
      <c r="E413" s="72"/>
      <c r="F413" s="615"/>
      <c r="G413" s="741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</row>
    <row r="414" spans="1:27" s="123" customFormat="1">
      <c r="A414" s="73"/>
      <c r="B414" s="73"/>
      <c r="C414" s="72"/>
      <c r="D414" s="577"/>
      <c r="E414" s="72"/>
      <c r="F414" s="615"/>
      <c r="G414" s="741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</row>
    <row r="415" spans="1:27" s="123" customFormat="1">
      <c r="A415" s="73"/>
      <c r="B415" s="73"/>
      <c r="C415" s="72"/>
      <c r="D415" s="577"/>
      <c r="E415" s="72"/>
      <c r="F415" s="615"/>
      <c r="G415" s="741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</row>
    <row r="416" spans="1:27" s="123" customFormat="1">
      <c r="A416" s="73"/>
      <c r="B416" s="73"/>
      <c r="C416" s="72"/>
      <c r="D416" s="577"/>
      <c r="E416" s="72"/>
      <c r="F416" s="615"/>
      <c r="G416" s="741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</row>
    <row r="417" spans="1:27" s="123" customFormat="1">
      <c r="A417" s="73"/>
      <c r="B417" s="73"/>
      <c r="C417" s="72"/>
      <c r="D417" s="577"/>
      <c r="E417" s="72"/>
      <c r="F417" s="615"/>
      <c r="G417" s="741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</row>
    <row r="418" spans="1:27" s="123" customFormat="1">
      <c r="A418" s="73"/>
      <c r="B418" s="73"/>
      <c r="C418" s="72"/>
      <c r="D418" s="577"/>
      <c r="E418" s="72"/>
      <c r="F418" s="615"/>
      <c r="G418" s="741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</row>
    <row r="419" spans="1:27" s="123" customFormat="1">
      <c r="A419" s="73"/>
      <c r="B419" s="73"/>
      <c r="C419" s="72"/>
      <c r="D419" s="577"/>
      <c r="E419" s="72"/>
      <c r="F419" s="615"/>
      <c r="G419" s="741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</row>
    <row r="420" spans="1:27" s="123" customFormat="1">
      <c r="A420" s="73"/>
      <c r="B420" s="73"/>
      <c r="C420" s="72"/>
      <c r="D420" s="577"/>
      <c r="E420" s="72"/>
      <c r="F420" s="615"/>
      <c r="G420" s="741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</row>
    <row r="421" spans="1:27" s="123" customFormat="1">
      <c r="A421" s="73"/>
      <c r="B421" s="73"/>
      <c r="C421" s="72"/>
      <c r="D421" s="577"/>
      <c r="E421" s="72"/>
      <c r="F421" s="615"/>
      <c r="G421" s="741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</row>
    <row r="422" spans="1:27" s="123" customFormat="1">
      <c r="A422" s="73"/>
      <c r="B422" s="73"/>
      <c r="C422" s="72"/>
      <c r="D422" s="577"/>
      <c r="E422" s="72"/>
      <c r="F422" s="615"/>
      <c r="G422" s="741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</row>
    <row r="423" spans="1:27" s="123" customFormat="1">
      <c r="A423" s="73"/>
      <c r="B423" s="73"/>
      <c r="C423" s="72"/>
      <c r="D423" s="577"/>
      <c r="E423" s="72"/>
      <c r="F423" s="615"/>
      <c r="G423" s="741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</row>
    <row r="424" spans="1:27" s="123" customFormat="1">
      <c r="A424" s="73"/>
      <c r="B424" s="73"/>
      <c r="C424" s="72"/>
      <c r="D424" s="577"/>
      <c r="E424" s="72"/>
      <c r="F424" s="615"/>
      <c r="G424" s="741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</row>
    <row r="425" spans="1:27" s="123" customFormat="1">
      <c r="A425" s="73"/>
      <c r="B425" s="73"/>
      <c r="C425" s="72"/>
      <c r="D425" s="577"/>
      <c r="E425" s="72"/>
      <c r="F425" s="615"/>
      <c r="G425" s="741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</row>
    <row r="426" spans="1:27" s="123" customFormat="1">
      <c r="A426" s="73"/>
      <c r="B426" s="73"/>
      <c r="C426" s="72"/>
      <c r="D426" s="577"/>
      <c r="E426" s="72"/>
      <c r="F426" s="615"/>
      <c r="G426" s="741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</row>
    <row r="427" spans="1:27" s="123" customFormat="1">
      <c r="A427" s="73"/>
      <c r="B427" s="73"/>
      <c r="C427" s="72"/>
      <c r="D427" s="577"/>
      <c r="E427" s="72"/>
      <c r="F427" s="615"/>
      <c r="G427" s="741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</row>
    <row r="428" spans="1:27" s="123" customFormat="1">
      <c r="A428" s="73"/>
      <c r="B428" s="73"/>
      <c r="C428" s="72"/>
      <c r="D428" s="577"/>
      <c r="E428" s="72"/>
      <c r="F428" s="615"/>
      <c r="G428" s="741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</row>
    <row r="429" spans="1:27" s="123" customFormat="1">
      <c r="A429" s="73"/>
      <c r="B429" s="73"/>
      <c r="C429" s="72"/>
      <c r="D429" s="577"/>
      <c r="E429" s="72"/>
      <c r="F429" s="615"/>
      <c r="G429" s="741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</row>
    <row r="430" spans="1:27" s="123" customFormat="1">
      <c r="A430" s="73"/>
      <c r="B430" s="73"/>
      <c r="C430" s="72"/>
      <c r="D430" s="577"/>
      <c r="E430" s="72"/>
      <c r="F430" s="615"/>
      <c r="G430" s="741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</row>
    <row r="431" spans="1:27" s="123" customFormat="1">
      <c r="A431" s="73"/>
      <c r="B431" s="73"/>
      <c r="C431" s="72"/>
      <c r="D431" s="577"/>
      <c r="E431" s="72"/>
      <c r="F431" s="615"/>
      <c r="G431" s="741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</row>
    <row r="432" spans="1:27" s="123" customFormat="1">
      <c r="A432" s="73"/>
      <c r="B432" s="73"/>
      <c r="C432" s="72"/>
      <c r="D432" s="577"/>
      <c r="E432" s="72"/>
      <c r="F432" s="615"/>
      <c r="G432" s="741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</row>
    <row r="433" spans="1:27" s="123" customFormat="1">
      <c r="A433" s="73"/>
      <c r="B433" s="73"/>
      <c r="C433" s="72"/>
      <c r="D433" s="577"/>
      <c r="E433" s="72"/>
      <c r="F433" s="615"/>
      <c r="G433" s="741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</row>
    <row r="434" spans="1:27" s="123" customFormat="1">
      <c r="A434" s="73"/>
      <c r="B434" s="73"/>
      <c r="C434" s="72"/>
      <c r="D434" s="577"/>
      <c r="E434" s="72"/>
      <c r="F434" s="615"/>
      <c r="G434" s="741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</row>
    <row r="435" spans="1:27" s="123" customFormat="1">
      <c r="A435" s="73"/>
      <c r="B435" s="73"/>
      <c r="C435" s="72"/>
      <c r="D435" s="577"/>
      <c r="E435" s="72"/>
      <c r="F435" s="615"/>
      <c r="G435" s="741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</row>
    <row r="436" spans="1:27" s="123" customFormat="1">
      <c r="A436" s="73"/>
      <c r="B436" s="73"/>
      <c r="C436" s="72"/>
      <c r="D436" s="577"/>
      <c r="E436" s="72"/>
      <c r="F436" s="615"/>
      <c r="G436" s="741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</row>
    <row r="437" spans="1:27" s="123" customFormat="1">
      <c r="A437" s="73"/>
      <c r="B437" s="73"/>
      <c r="C437" s="72"/>
      <c r="D437" s="577"/>
      <c r="E437" s="72"/>
      <c r="F437" s="615"/>
      <c r="G437" s="741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</row>
    <row r="438" spans="1:27" s="123" customFormat="1">
      <c r="A438" s="73"/>
      <c r="B438" s="73"/>
      <c r="C438" s="72"/>
      <c r="D438" s="577"/>
      <c r="E438" s="72"/>
      <c r="F438" s="615"/>
      <c r="G438" s="741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</row>
    <row r="439" spans="1:27" s="123" customFormat="1">
      <c r="A439" s="73"/>
      <c r="B439" s="73"/>
      <c r="C439" s="72"/>
      <c r="D439" s="577"/>
      <c r="E439" s="72"/>
      <c r="F439" s="615"/>
      <c r="G439" s="741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</row>
    <row r="440" spans="1:27" s="123" customFormat="1">
      <c r="A440" s="73"/>
      <c r="B440" s="73"/>
      <c r="C440" s="72"/>
      <c r="D440" s="577"/>
      <c r="E440" s="72"/>
      <c r="F440" s="615"/>
      <c r="G440" s="741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</row>
    <row r="441" spans="1:27" s="123" customFormat="1">
      <c r="A441" s="73"/>
      <c r="B441" s="73"/>
      <c r="C441" s="72"/>
      <c r="D441" s="577"/>
      <c r="E441" s="72"/>
      <c r="F441" s="615"/>
      <c r="G441" s="741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</row>
    <row r="442" spans="1:27" s="123" customFormat="1">
      <c r="A442" s="73"/>
      <c r="B442" s="73"/>
      <c r="C442" s="72"/>
      <c r="D442" s="577"/>
      <c r="E442" s="72"/>
      <c r="F442" s="615"/>
      <c r="G442" s="741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</row>
    <row r="443" spans="1:27" s="123" customFormat="1">
      <c r="A443" s="73"/>
      <c r="B443" s="73"/>
      <c r="C443" s="72"/>
      <c r="D443" s="577"/>
      <c r="E443" s="72"/>
      <c r="F443" s="615"/>
      <c r="G443" s="741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</row>
    <row r="444" spans="1:27" s="123" customFormat="1">
      <c r="A444" s="73"/>
      <c r="B444" s="73"/>
      <c r="C444" s="72"/>
      <c r="D444" s="577"/>
      <c r="E444" s="72"/>
      <c r="F444" s="615"/>
      <c r="G444" s="741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</row>
    <row r="445" spans="1:27" s="123" customFormat="1">
      <c r="A445" s="73"/>
      <c r="B445" s="73"/>
      <c r="C445" s="72"/>
      <c r="D445" s="577"/>
      <c r="E445" s="72"/>
      <c r="F445" s="615"/>
      <c r="G445" s="741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</row>
    <row r="446" spans="1:27" s="123" customFormat="1">
      <c r="A446" s="73"/>
      <c r="B446" s="73"/>
      <c r="C446" s="72"/>
      <c r="D446" s="577"/>
      <c r="E446" s="72"/>
      <c r="F446" s="615"/>
      <c r="G446" s="741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</row>
    <row r="447" spans="1:27" s="123" customFormat="1">
      <c r="A447" s="73"/>
      <c r="B447" s="73"/>
      <c r="C447" s="72"/>
      <c r="D447" s="577"/>
      <c r="E447" s="72"/>
      <c r="F447" s="615"/>
      <c r="G447" s="741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</row>
    <row r="448" spans="1:27" s="123" customFormat="1">
      <c r="A448" s="73"/>
      <c r="B448" s="73"/>
      <c r="C448" s="72"/>
      <c r="D448" s="577"/>
      <c r="E448" s="72"/>
      <c r="F448" s="615"/>
      <c r="G448" s="741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</row>
    <row r="449" spans="1:27" s="123" customFormat="1">
      <c r="A449" s="73"/>
      <c r="B449" s="73"/>
      <c r="C449" s="72"/>
      <c r="D449" s="577"/>
      <c r="E449" s="72"/>
      <c r="F449" s="615"/>
      <c r="G449" s="741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</row>
    <row r="450" spans="1:27" s="123" customFormat="1">
      <c r="A450" s="73"/>
      <c r="B450" s="73"/>
      <c r="C450" s="72"/>
      <c r="D450" s="577"/>
      <c r="E450" s="72"/>
      <c r="F450" s="615"/>
      <c r="G450" s="741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</row>
    <row r="451" spans="1:27" s="123" customFormat="1">
      <c r="A451" s="73"/>
      <c r="B451" s="73"/>
      <c r="C451" s="72"/>
      <c r="D451" s="577"/>
      <c r="E451" s="72"/>
      <c r="F451" s="615"/>
      <c r="G451" s="741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</row>
    <row r="452" spans="1:27" s="123" customFormat="1">
      <c r="A452" s="73"/>
      <c r="B452" s="73"/>
      <c r="C452" s="72"/>
      <c r="D452" s="577"/>
      <c r="E452" s="72"/>
      <c r="F452" s="615"/>
      <c r="G452" s="741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</row>
    <row r="453" spans="1:27" s="123" customFormat="1">
      <c r="A453" s="73"/>
      <c r="B453" s="73"/>
      <c r="C453" s="72"/>
      <c r="D453" s="577"/>
      <c r="E453" s="72"/>
      <c r="F453" s="615"/>
      <c r="G453" s="741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</row>
    <row r="454" spans="1:27" s="123" customFormat="1">
      <c r="A454" s="73"/>
      <c r="B454" s="73"/>
      <c r="C454" s="72"/>
      <c r="D454" s="577"/>
      <c r="E454" s="72"/>
      <c r="F454" s="615"/>
      <c r="G454" s="741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</row>
    <row r="455" spans="1:27" s="123" customFormat="1">
      <c r="A455" s="73"/>
      <c r="B455" s="73"/>
      <c r="C455" s="72"/>
      <c r="D455" s="577"/>
      <c r="E455" s="72"/>
      <c r="F455" s="615"/>
      <c r="G455" s="741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</row>
    <row r="456" spans="1:27" s="123" customFormat="1">
      <c r="A456" s="73"/>
      <c r="B456" s="73"/>
      <c r="C456" s="72"/>
      <c r="D456" s="577"/>
      <c r="E456" s="72"/>
      <c r="F456" s="615"/>
      <c r="G456" s="741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</row>
    <row r="457" spans="1:27" s="123" customFormat="1">
      <c r="A457" s="73"/>
      <c r="B457" s="73"/>
      <c r="C457" s="72"/>
      <c r="D457" s="577"/>
      <c r="E457" s="72"/>
      <c r="F457" s="615"/>
      <c r="G457" s="741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</row>
    <row r="458" spans="1:27" s="123" customFormat="1">
      <c r="A458" s="73"/>
      <c r="B458" s="73"/>
      <c r="C458" s="72"/>
      <c r="D458" s="577"/>
      <c r="E458" s="72"/>
      <c r="F458" s="615"/>
      <c r="G458" s="741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</row>
    <row r="459" spans="1:27" s="123" customFormat="1">
      <c r="A459" s="73"/>
      <c r="B459" s="73"/>
      <c r="C459" s="72"/>
      <c r="D459" s="577"/>
      <c r="E459" s="72"/>
      <c r="F459" s="615"/>
      <c r="G459" s="741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</row>
    <row r="460" spans="1:27" s="123" customFormat="1">
      <c r="A460" s="73"/>
      <c r="B460" s="73"/>
      <c r="C460" s="72"/>
      <c r="D460" s="577"/>
      <c r="E460" s="72"/>
      <c r="F460" s="615"/>
      <c r="G460" s="741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</row>
    <row r="461" spans="1:27" s="123" customFormat="1">
      <c r="A461" s="73"/>
      <c r="B461" s="73"/>
      <c r="C461" s="72"/>
      <c r="D461" s="577"/>
      <c r="E461" s="72"/>
      <c r="F461" s="615"/>
      <c r="G461" s="741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</row>
    <row r="462" spans="1:27" s="123" customFormat="1">
      <c r="A462" s="73"/>
      <c r="B462" s="73"/>
      <c r="C462" s="72"/>
      <c r="D462" s="577"/>
      <c r="E462" s="72"/>
      <c r="F462" s="615"/>
      <c r="G462" s="741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</row>
    <row r="463" spans="1:27" s="123" customFormat="1">
      <c r="A463" s="73"/>
      <c r="B463" s="73"/>
      <c r="C463" s="72"/>
      <c r="D463" s="577"/>
      <c r="E463" s="72"/>
      <c r="F463" s="615"/>
      <c r="G463" s="741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</row>
    <row r="464" spans="1:27" s="123" customFormat="1">
      <c r="A464" s="73"/>
      <c r="B464" s="73"/>
      <c r="C464" s="72"/>
      <c r="D464" s="577"/>
      <c r="E464" s="72"/>
      <c r="F464" s="615"/>
      <c r="G464" s="741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</row>
    <row r="465" spans="1:27" s="123" customFormat="1">
      <c r="A465" s="73"/>
      <c r="B465" s="73"/>
      <c r="C465" s="72"/>
      <c r="D465" s="577"/>
      <c r="E465" s="72"/>
      <c r="F465" s="615"/>
      <c r="G465" s="741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1:27" s="123" customFormat="1">
      <c r="A466" s="73"/>
      <c r="B466" s="73"/>
      <c r="C466" s="72"/>
      <c r="D466" s="577"/>
      <c r="E466" s="72"/>
      <c r="F466" s="615"/>
      <c r="G466" s="741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1:27" s="123" customFormat="1">
      <c r="A467" s="73"/>
      <c r="B467" s="73"/>
      <c r="C467" s="72"/>
      <c r="D467" s="577"/>
      <c r="E467" s="72"/>
      <c r="F467" s="615"/>
      <c r="G467" s="741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1:27" s="123" customFormat="1">
      <c r="A468" s="73"/>
      <c r="B468" s="73"/>
      <c r="C468" s="72"/>
      <c r="D468" s="577"/>
      <c r="E468" s="72"/>
      <c r="F468" s="615"/>
      <c r="G468" s="741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</row>
    <row r="469" spans="1:27" s="123" customFormat="1">
      <c r="A469" s="73"/>
      <c r="B469" s="73"/>
      <c r="C469" s="72"/>
      <c r="D469" s="577"/>
      <c r="E469" s="72"/>
      <c r="F469" s="615"/>
      <c r="G469" s="741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</row>
    <row r="470" spans="1:27" s="123" customFormat="1">
      <c r="A470" s="73"/>
      <c r="B470" s="73"/>
      <c r="C470" s="72"/>
      <c r="D470" s="577"/>
      <c r="E470" s="72"/>
      <c r="F470" s="615"/>
      <c r="G470" s="741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</row>
    <row r="471" spans="1:27" s="123" customFormat="1">
      <c r="A471" s="73"/>
      <c r="B471" s="73"/>
      <c r="C471" s="72"/>
      <c r="D471" s="577"/>
      <c r="E471" s="72"/>
      <c r="F471" s="615"/>
      <c r="G471" s="741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</row>
    <row r="472" spans="1:27" s="123" customFormat="1">
      <c r="A472" s="73"/>
      <c r="B472" s="73"/>
      <c r="C472" s="72"/>
      <c r="D472" s="577"/>
      <c r="E472" s="72"/>
      <c r="F472" s="615"/>
      <c r="G472" s="741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</row>
    <row r="473" spans="1:27" s="123" customFormat="1">
      <c r="A473" s="73"/>
      <c r="B473" s="73"/>
      <c r="C473" s="72"/>
      <c r="D473" s="577"/>
      <c r="E473" s="72"/>
      <c r="F473" s="615"/>
      <c r="G473" s="741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</row>
    <row r="474" spans="1:27" s="123" customFormat="1">
      <c r="A474" s="73"/>
      <c r="B474" s="73"/>
      <c r="C474" s="72"/>
      <c r="D474" s="577"/>
      <c r="E474" s="72"/>
      <c r="F474" s="615"/>
      <c r="G474" s="741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</row>
    <row r="475" spans="1:27" s="123" customFormat="1">
      <c r="A475" s="73"/>
      <c r="B475" s="73"/>
      <c r="C475" s="72"/>
      <c r="D475" s="577"/>
      <c r="E475" s="72"/>
      <c r="F475" s="615"/>
      <c r="G475" s="741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</row>
    <row r="476" spans="1:27" s="123" customFormat="1">
      <c r="A476" s="73"/>
      <c r="B476" s="73"/>
      <c r="C476" s="72"/>
      <c r="D476" s="577"/>
      <c r="E476" s="72"/>
      <c r="F476" s="615"/>
      <c r="G476" s="741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</row>
    <row r="477" spans="1:27" s="123" customFormat="1">
      <c r="A477" s="73"/>
      <c r="B477" s="73"/>
      <c r="C477" s="72"/>
      <c r="D477" s="577"/>
      <c r="E477" s="72"/>
      <c r="F477" s="615"/>
      <c r="G477" s="741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</row>
    <row r="478" spans="1:27" s="123" customFormat="1">
      <c r="A478" s="73"/>
      <c r="B478" s="73"/>
      <c r="C478" s="72"/>
      <c r="D478" s="577"/>
      <c r="E478" s="72"/>
      <c r="F478" s="615"/>
      <c r="G478" s="741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1:27" s="123" customFormat="1">
      <c r="A479" s="73"/>
      <c r="B479" s="73"/>
      <c r="C479" s="72"/>
      <c r="D479" s="577"/>
      <c r="E479" s="72"/>
      <c r="F479" s="615"/>
      <c r="G479" s="741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1:27" s="123" customFormat="1">
      <c r="A480" s="73"/>
      <c r="B480" s="73"/>
      <c r="C480" s="72"/>
      <c r="D480" s="577"/>
      <c r="E480" s="72"/>
      <c r="F480" s="615"/>
      <c r="G480" s="741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1:27" s="123" customFormat="1">
      <c r="A481" s="73"/>
      <c r="B481" s="73"/>
      <c r="C481" s="72"/>
      <c r="D481" s="577"/>
      <c r="E481" s="72"/>
      <c r="F481" s="615"/>
      <c r="G481" s="741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</row>
    <row r="482" spans="1:27" s="123" customFormat="1">
      <c r="A482" s="73"/>
      <c r="B482" s="73"/>
      <c r="C482" s="72"/>
      <c r="D482" s="577"/>
      <c r="E482" s="72"/>
      <c r="F482" s="615"/>
      <c r="G482" s="741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</row>
    <row r="483" spans="1:27" s="123" customFormat="1">
      <c r="A483" s="73"/>
      <c r="B483" s="73"/>
      <c r="C483" s="72"/>
      <c r="D483" s="577"/>
      <c r="E483" s="72"/>
      <c r="F483" s="615"/>
      <c r="G483" s="741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</row>
    <row r="484" spans="1:27" s="123" customFormat="1">
      <c r="A484" s="73"/>
      <c r="B484" s="73"/>
      <c r="C484" s="72"/>
      <c r="D484" s="577"/>
      <c r="E484" s="72"/>
      <c r="F484" s="615"/>
      <c r="G484" s="741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</row>
    <row r="485" spans="1:27" s="123" customFormat="1">
      <c r="A485" s="73"/>
      <c r="B485" s="73"/>
      <c r="C485" s="72"/>
      <c r="D485" s="577"/>
      <c r="E485" s="72"/>
      <c r="F485" s="615"/>
      <c r="G485" s="741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</row>
    <row r="486" spans="1:27" s="123" customFormat="1">
      <c r="A486" s="73"/>
      <c r="B486" s="73"/>
      <c r="C486" s="72"/>
      <c r="D486" s="577"/>
      <c r="E486" s="72"/>
      <c r="F486" s="615"/>
      <c r="G486" s="741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</row>
    <row r="487" spans="1:27" s="123" customFormat="1">
      <c r="A487" s="73"/>
      <c r="B487" s="73"/>
      <c r="C487" s="72"/>
      <c r="D487" s="577"/>
      <c r="E487" s="72"/>
      <c r="F487" s="615"/>
      <c r="G487" s="741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</row>
    <row r="488" spans="1:27" s="123" customFormat="1">
      <c r="A488" s="73"/>
      <c r="B488" s="73"/>
      <c r="C488" s="72"/>
      <c r="D488" s="577"/>
      <c r="E488" s="72"/>
      <c r="F488" s="615"/>
      <c r="G488" s="741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</row>
    <row r="489" spans="1:27" s="123" customFormat="1">
      <c r="A489" s="73"/>
      <c r="B489" s="73"/>
      <c r="C489" s="72"/>
      <c r="D489" s="577"/>
      <c r="E489" s="72"/>
      <c r="F489" s="615"/>
      <c r="G489" s="741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</row>
    <row r="490" spans="1:27" s="123" customFormat="1">
      <c r="A490" s="73"/>
      <c r="B490" s="73"/>
      <c r="C490" s="72"/>
      <c r="D490" s="577"/>
      <c r="E490" s="72"/>
      <c r="F490" s="615"/>
      <c r="G490" s="741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</row>
    <row r="491" spans="1:27" s="123" customFormat="1">
      <c r="A491" s="73"/>
      <c r="B491" s="73"/>
      <c r="C491" s="72"/>
      <c r="D491" s="577"/>
      <c r="E491" s="72"/>
      <c r="F491" s="615"/>
      <c r="G491" s="741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</row>
    <row r="492" spans="1:27" s="123" customFormat="1">
      <c r="A492" s="73"/>
      <c r="B492" s="73"/>
      <c r="C492" s="72"/>
      <c r="D492" s="577"/>
      <c r="E492" s="72"/>
      <c r="F492" s="615"/>
      <c r="G492" s="741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</row>
    <row r="493" spans="1:27" s="123" customFormat="1">
      <c r="A493" s="73"/>
      <c r="B493" s="73"/>
      <c r="C493" s="72"/>
      <c r="D493" s="577"/>
      <c r="E493" s="72"/>
      <c r="F493" s="615"/>
      <c r="G493" s="741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</row>
    <row r="494" spans="1:27" s="123" customFormat="1">
      <c r="A494" s="73"/>
      <c r="B494" s="73"/>
      <c r="C494" s="72"/>
      <c r="D494" s="577"/>
      <c r="E494" s="72"/>
      <c r="F494" s="615"/>
      <c r="G494" s="741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</row>
    <row r="495" spans="1:27" s="123" customFormat="1">
      <c r="A495" s="73"/>
      <c r="B495" s="73"/>
      <c r="C495" s="72"/>
      <c r="D495" s="577"/>
      <c r="E495" s="72"/>
      <c r="F495" s="615"/>
      <c r="G495" s="741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</row>
    <row r="496" spans="1:27" s="123" customFormat="1">
      <c r="A496" s="73"/>
      <c r="B496" s="73"/>
      <c r="C496" s="72"/>
      <c r="D496" s="577"/>
      <c r="E496" s="72"/>
      <c r="F496" s="615"/>
      <c r="G496" s="741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</row>
    <row r="497" spans="1:27" s="123" customFormat="1">
      <c r="A497" s="73"/>
      <c r="B497" s="73"/>
      <c r="C497" s="72"/>
      <c r="D497" s="577"/>
      <c r="E497" s="72"/>
      <c r="F497" s="615"/>
      <c r="G497" s="741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</row>
    <row r="498" spans="1:27" s="123" customFormat="1">
      <c r="A498" s="73"/>
      <c r="B498" s="73"/>
      <c r="C498" s="72"/>
      <c r="D498" s="577"/>
      <c r="E498" s="72"/>
      <c r="F498" s="615"/>
      <c r="G498" s="741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</row>
    <row r="499" spans="1:27" s="123" customFormat="1">
      <c r="A499" s="73"/>
      <c r="B499" s="73"/>
      <c r="C499" s="72"/>
      <c r="D499" s="577"/>
      <c r="E499" s="72"/>
      <c r="F499" s="615"/>
      <c r="G499" s="741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</row>
    <row r="500" spans="1:27" s="123" customFormat="1">
      <c r="A500" s="73"/>
      <c r="B500" s="73"/>
      <c r="C500" s="72"/>
      <c r="D500" s="577"/>
      <c r="E500" s="72"/>
      <c r="F500" s="615"/>
      <c r="G500" s="741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</row>
    <row r="501" spans="1:27" s="123" customFormat="1">
      <c r="A501" s="73"/>
      <c r="B501" s="73"/>
      <c r="C501" s="72"/>
      <c r="D501" s="577"/>
      <c r="E501" s="72"/>
      <c r="F501" s="615"/>
      <c r="G501" s="741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</row>
    <row r="502" spans="1:27" s="123" customFormat="1">
      <c r="A502" s="73"/>
      <c r="B502" s="73"/>
      <c r="C502" s="72"/>
      <c r="D502" s="577"/>
      <c r="E502" s="72"/>
      <c r="F502" s="615"/>
      <c r="G502" s="741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</row>
    <row r="503" spans="1:27" s="123" customFormat="1">
      <c r="A503" s="73"/>
      <c r="B503" s="73"/>
      <c r="C503" s="72"/>
      <c r="D503" s="577"/>
      <c r="E503" s="72"/>
      <c r="F503" s="615"/>
      <c r="G503" s="741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</row>
    <row r="504" spans="1:27" s="123" customFormat="1">
      <c r="A504" s="73"/>
      <c r="B504" s="73"/>
      <c r="C504" s="72"/>
      <c r="D504" s="577"/>
      <c r="E504" s="72"/>
      <c r="F504" s="615"/>
      <c r="G504" s="741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</row>
    <row r="505" spans="1:27" s="123" customFormat="1">
      <c r="A505" s="73"/>
      <c r="B505" s="73"/>
      <c r="C505" s="72"/>
      <c r="D505" s="577"/>
      <c r="E505" s="72"/>
      <c r="F505" s="615"/>
      <c r="G505" s="741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</row>
    <row r="506" spans="1:27" s="123" customFormat="1">
      <c r="A506" s="73"/>
      <c r="B506" s="73"/>
      <c r="C506" s="72"/>
      <c r="D506" s="577"/>
      <c r="E506" s="72"/>
      <c r="F506" s="615"/>
      <c r="G506" s="741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</row>
    <row r="507" spans="1:27" s="123" customFormat="1">
      <c r="A507" s="73"/>
      <c r="B507" s="73"/>
      <c r="C507" s="72"/>
      <c r="D507" s="577"/>
      <c r="E507" s="72"/>
      <c r="F507" s="615"/>
      <c r="G507" s="741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</row>
    <row r="508" spans="1:27" s="123" customFormat="1">
      <c r="A508" s="73"/>
      <c r="B508" s="73"/>
      <c r="C508" s="72"/>
      <c r="D508" s="577"/>
      <c r="E508" s="72"/>
      <c r="F508" s="615"/>
      <c r="G508" s="741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</row>
    <row r="509" spans="1:27" s="123" customFormat="1">
      <c r="A509" s="73"/>
      <c r="B509" s="73"/>
      <c r="C509" s="72"/>
      <c r="D509" s="577"/>
      <c r="E509" s="72"/>
      <c r="F509" s="615"/>
      <c r="G509" s="741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pans="1:27" s="123" customFormat="1">
      <c r="A510" s="73"/>
      <c r="B510" s="73"/>
      <c r="C510" s="72"/>
      <c r="D510" s="577"/>
      <c r="E510" s="72"/>
      <c r="F510" s="615"/>
      <c r="G510" s="741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pans="1:27" s="123" customFormat="1">
      <c r="A511" s="73"/>
      <c r="B511" s="73"/>
      <c r="C511" s="72"/>
      <c r="D511" s="577"/>
      <c r="E511" s="72"/>
      <c r="F511" s="615"/>
      <c r="G511" s="741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</row>
    <row r="512" spans="1:27" s="123" customFormat="1">
      <c r="A512" s="73"/>
      <c r="B512" s="73"/>
      <c r="C512" s="72"/>
      <c r="D512" s="577"/>
      <c r="E512" s="72"/>
      <c r="F512" s="615"/>
      <c r="G512" s="741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</row>
    <row r="513" spans="1:27" s="123" customFormat="1">
      <c r="A513" s="73"/>
      <c r="B513" s="73"/>
      <c r="C513" s="72"/>
      <c r="D513" s="577"/>
      <c r="E513" s="72"/>
      <c r="F513" s="615"/>
      <c r="G513" s="741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</row>
    <row r="514" spans="1:27" s="123" customFormat="1">
      <c r="A514" s="73"/>
      <c r="B514" s="73"/>
      <c r="C514" s="72"/>
      <c r="D514" s="577"/>
      <c r="E514" s="72"/>
      <c r="F514" s="615"/>
      <c r="G514" s="741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pans="1:27" s="123" customFormat="1">
      <c r="A515" s="73"/>
      <c r="B515" s="73"/>
      <c r="C515" s="72"/>
      <c r="D515" s="577"/>
      <c r="E515" s="72"/>
      <c r="F515" s="615"/>
      <c r="G515" s="741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</row>
    <row r="516" spans="1:27" s="123" customFormat="1">
      <c r="A516" s="73"/>
      <c r="B516" s="73"/>
      <c r="C516" s="72"/>
      <c r="D516" s="577"/>
      <c r="E516" s="72"/>
      <c r="F516" s="615"/>
      <c r="G516" s="741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</row>
    <row r="517" spans="1:27" s="123" customFormat="1">
      <c r="A517" s="73"/>
      <c r="B517" s="73"/>
      <c r="C517" s="72"/>
      <c r="D517" s="577"/>
      <c r="E517" s="72"/>
      <c r="F517" s="615"/>
      <c r="G517" s="741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</row>
    <row r="518" spans="1:27" s="123" customFormat="1">
      <c r="A518" s="73"/>
      <c r="B518" s="73"/>
      <c r="C518" s="72"/>
      <c r="D518" s="577"/>
      <c r="E518" s="72"/>
      <c r="F518" s="615"/>
      <c r="G518" s="741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</row>
    <row r="519" spans="1:27" s="123" customFormat="1">
      <c r="A519" s="73"/>
      <c r="B519" s="73"/>
      <c r="C519" s="72"/>
      <c r="D519" s="577"/>
      <c r="E519" s="72"/>
      <c r="F519" s="615"/>
      <c r="G519" s="741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</row>
    <row r="520" spans="1:27" s="123" customFormat="1">
      <c r="A520" s="73"/>
      <c r="B520" s="73"/>
      <c r="C520" s="72"/>
      <c r="D520" s="577"/>
      <c r="E520" s="72"/>
      <c r="F520" s="615"/>
      <c r="G520" s="741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</row>
    <row r="521" spans="1:27" s="123" customFormat="1">
      <c r="A521" s="73"/>
      <c r="B521" s="73"/>
      <c r="C521" s="72"/>
      <c r="D521" s="577"/>
      <c r="E521" s="72"/>
      <c r="F521" s="615"/>
      <c r="G521" s="741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</row>
    <row r="522" spans="1:27" s="123" customFormat="1">
      <c r="A522" s="73"/>
      <c r="B522" s="73"/>
      <c r="C522" s="72"/>
      <c r="D522" s="577"/>
      <c r="E522" s="72"/>
      <c r="F522" s="615"/>
      <c r="G522" s="741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</row>
    <row r="523" spans="1:27" s="123" customFormat="1">
      <c r="A523" s="73"/>
      <c r="B523" s="73"/>
      <c r="C523" s="72"/>
      <c r="D523" s="577"/>
      <c r="E523" s="72"/>
      <c r="F523" s="615"/>
      <c r="G523" s="741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</row>
    <row r="524" spans="1:27" s="123" customFormat="1">
      <c r="A524" s="73"/>
      <c r="B524" s="73"/>
      <c r="C524" s="72"/>
      <c r="D524" s="577"/>
      <c r="E524" s="72"/>
      <c r="F524" s="615"/>
      <c r="G524" s="741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</row>
    <row r="525" spans="1:27" s="123" customFormat="1">
      <c r="A525" s="73"/>
      <c r="B525" s="73"/>
      <c r="C525" s="72"/>
      <c r="D525" s="577"/>
      <c r="E525" s="72"/>
      <c r="F525" s="615"/>
      <c r="G525" s="741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</row>
    <row r="526" spans="1:27" s="123" customFormat="1">
      <c r="A526" s="73"/>
      <c r="B526" s="73"/>
      <c r="C526" s="72"/>
      <c r="D526" s="577"/>
      <c r="E526" s="72"/>
      <c r="F526" s="615"/>
      <c r="G526" s="741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</row>
    <row r="527" spans="1:27" s="123" customFormat="1">
      <c r="A527" s="73"/>
      <c r="B527" s="73"/>
      <c r="C527" s="72"/>
      <c r="D527" s="577"/>
      <c r="E527" s="72"/>
      <c r="F527" s="615"/>
      <c r="G527" s="741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</row>
    <row r="528" spans="1:27" s="123" customFormat="1">
      <c r="A528" s="73"/>
      <c r="B528" s="73"/>
      <c r="C528" s="72"/>
      <c r="D528" s="577"/>
      <c r="E528" s="72"/>
      <c r="F528" s="615"/>
      <c r="G528" s="741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</row>
    <row r="529" spans="1:27" s="123" customFormat="1">
      <c r="A529" s="73"/>
      <c r="B529" s="73"/>
      <c r="C529" s="72"/>
      <c r="D529" s="577"/>
      <c r="E529" s="72"/>
      <c r="F529" s="615"/>
      <c r="G529" s="741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</row>
    <row r="530" spans="1:27" s="123" customFormat="1">
      <c r="A530" s="73"/>
      <c r="B530" s="73"/>
      <c r="C530" s="72"/>
      <c r="D530" s="577"/>
      <c r="E530" s="72"/>
      <c r="F530" s="615"/>
      <c r="G530" s="741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</row>
    <row r="531" spans="1:27" s="123" customFormat="1">
      <c r="A531" s="73"/>
      <c r="B531" s="73"/>
      <c r="C531" s="72"/>
      <c r="D531" s="577"/>
      <c r="E531" s="72"/>
      <c r="F531" s="615"/>
      <c r="G531" s="741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</row>
    <row r="532" spans="1:27" s="123" customFormat="1">
      <c r="A532" s="73"/>
      <c r="B532" s="73"/>
      <c r="C532" s="72"/>
      <c r="D532" s="577"/>
      <c r="E532" s="72"/>
      <c r="F532" s="615"/>
      <c r="G532" s="741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</row>
    <row r="533" spans="1:27" s="123" customFormat="1">
      <c r="A533" s="73"/>
      <c r="B533" s="73"/>
      <c r="C533" s="72"/>
      <c r="D533" s="577"/>
      <c r="E533" s="72"/>
      <c r="F533" s="615"/>
      <c r="G533" s="741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</row>
    <row r="534" spans="1:27" s="123" customFormat="1">
      <c r="A534" s="73"/>
      <c r="B534" s="73"/>
      <c r="C534" s="72"/>
      <c r="D534" s="577"/>
      <c r="E534" s="72"/>
      <c r="F534" s="615"/>
      <c r="G534" s="741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</row>
    <row r="535" spans="1:27" s="123" customFormat="1">
      <c r="A535" s="73"/>
      <c r="B535" s="73"/>
      <c r="C535" s="72"/>
      <c r="D535" s="577"/>
      <c r="E535" s="72"/>
      <c r="F535" s="615"/>
      <c r="G535" s="741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</row>
    <row r="536" spans="1:27" s="123" customFormat="1">
      <c r="A536" s="73"/>
      <c r="B536" s="73"/>
      <c r="C536" s="72"/>
      <c r="D536" s="577"/>
      <c r="E536" s="72"/>
      <c r="F536" s="615"/>
      <c r="G536" s="741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</row>
    <row r="537" spans="1:27" s="123" customFormat="1">
      <c r="A537" s="73"/>
      <c r="B537" s="73"/>
      <c r="C537" s="72"/>
      <c r="D537" s="577"/>
      <c r="E537" s="72"/>
      <c r="F537" s="615"/>
      <c r="G537" s="741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</row>
    <row r="538" spans="1:27" s="123" customFormat="1">
      <c r="A538" s="73"/>
      <c r="B538" s="73"/>
      <c r="C538" s="72"/>
      <c r="D538" s="577"/>
      <c r="E538" s="72"/>
      <c r="F538" s="615"/>
      <c r="G538" s="741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</row>
    <row r="539" spans="1:27" s="123" customFormat="1">
      <c r="A539" s="73"/>
      <c r="B539" s="73"/>
      <c r="C539" s="72"/>
      <c r="D539" s="577"/>
      <c r="E539" s="72"/>
      <c r="F539" s="615"/>
      <c r="G539" s="741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</row>
    <row r="540" spans="1:27" s="123" customFormat="1">
      <c r="A540" s="73"/>
      <c r="B540" s="73"/>
      <c r="C540" s="72"/>
      <c r="D540" s="577"/>
      <c r="E540" s="72"/>
      <c r="F540" s="615"/>
      <c r="G540" s="741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</row>
    <row r="541" spans="1:27" s="123" customFormat="1">
      <c r="A541" s="73"/>
      <c r="B541" s="73"/>
      <c r="C541" s="72"/>
      <c r="D541" s="577"/>
      <c r="E541" s="72"/>
      <c r="F541" s="615"/>
      <c r="G541" s="741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pans="1:27" s="123" customFormat="1">
      <c r="A542" s="73"/>
      <c r="B542" s="73"/>
      <c r="C542" s="72"/>
      <c r="D542" s="577"/>
      <c r="E542" s="72"/>
      <c r="F542" s="615"/>
      <c r="G542" s="741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pans="1:27" s="123" customFormat="1">
      <c r="A543" s="73"/>
      <c r="B543" s="73"/>
      <c r="C543" s="72"/>
      <c r="D543" s="577"/>
      <c r="E543" s="72"/>
      <c r="F543" s="615"/>
      <c r="G543" s="741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</row>
    <row r="544" spans="1:27" s="123" customFormat="1">
      <c r="A544" s="73"/>
      <c r="B544" s="73"/>
      <c r="C544" s="72"/>
      <c r="D544" s="577"/>
      <c r="E544" s="72"/>
      <c r="F544" s="615"/>
      <c r="G544" s="741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</row>
    <row r="545" spans="1:27" s="123" customFormat="1">
      <c r="A545" s="73"/>
      <c r="B545" s="73"/>
      <c r="C545" s="72"/>
      <c r="D545" s="577"/>
      <c r="E545" s="72"/>
      <c r="F545" s="615"/>
      <c r="G545" s="741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</row>
    <row r="546" spans="1:27" s="123" customFormat="1">
      <c r="A546" s="73"/>
      <c r="B546" s="73"/>
      <c r="C546" s="72"/>
      <c r="D546" s="577"/>
      <c r="E546" s="72"/>
      <c r="F546" s="615"/>
      <c r="G546" s="741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</row>
    <row r="547" spans="1:27" s="123" customFormat="1">
      <c r="A547" s="73"/>
      <c r="B547" s="73"/>
      <c r="C547" s="72"/>
      <c r="D547" s="577"/>
      <c r="E547" s="72"/>
      <c r="F547" s="615"/>
      <c r="G547" s="741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</row>
    <row r="548" spans="1:27" s="123" customFormat="1">
      <c r="A548" s="73"/>
      <c r="B548" s="73"/>
      <c r="C548" s="72"/>
      <c r="D548" s="577"/>
      <c r="E548" s="72"/>
      <c r="F548" s="615"/>
      <c r="G548" s="741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</row>
    <row r="549" spans="1:27" s="123" customFormat="1">
      <c r="A549" s="73"/>
      <c r="B549" s="73"/>
      <c r="C549" s="72"/>
      <c r="D549" s="577"/>
      <c r="E549" s="72"/>
      <c r="F549" s="615"/>
      <c r="G549" s="741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</row>
    <row r="550" spans="1:27" s="123" customFormat="1">
      <c r="A550" s="73"/>
      <c r="B550" s="73"/>
      <c r="C550" s="72"/>
      <c r="D550" s="577"/>
      <c r="E550" s="72"/>
      <c r="F550" s="615"/>
      <c r="G550" s="741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</row>
    <row r="551" spans="1:27" s="123" customFormat="1">
      <c r="A551" s="73"/>
      <c r="B551" s="73"/>
      <c r="C551" s="72"/>
      <c r="D551" s="577"/>
      <c r="E551" s="72"/>
      <c r="F551" s="615"/>
      <c r="G551" s="741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</row>
    <row r="552" spans="1:27" s="123" customFormat="1">
      <c r="A552" s="73"/>
      <c r="B552" s="73"/>
      <c r="C552" s="72"/>
      <c r="D552" s="577"/>
      <c r="E552" s="72"/>
      <c r="F552" s="615"/>
      <c r="G552" s="741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</row>
    <row r="553" spans="1:27" s="123" customFormat="1">
      <c r="A553" s="73"/>
      <c r="B553" s="73"/>
      <c r="C553" s="72"/>
      <c r="D553" s="577"/>
      <c r="E553" s="72"/>
      <c r="F553" s="615"/>
      <c r="G553" s="741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</row>
    <row r="554" spans="1:27" s="123" customFormat="1">
      <c r="A554" s="73"/>
      <c r="B554" s="73"/>
      <c r="C554" s="72"/>
      <c r="D554" s="577"/>
      <c r="E554" s="72"/>
      <c r="F554" s="615"/>
      <c r="G554" s="741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</row>
    <row r="555" spans="1:27" s="123" customFormat="1">
      <c r="A555" s="73"/>
      <c r="B555" s="73"/>
      <c r="C555" s="72"/>
      <c r="D555" s="577"/>
      <c r="E555" s="72"/>
      <c r="F555" s="615"/>
      <c r="G555" s="741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</row>
    <row r="556" spans="1:27" s="123" customFormat="1">
      <c r="A556" s="73"/>
      <c r="B556" s="73"/>
      <c r="C556" s="72"/>
      <c r="D556" s="577"/>
      <c r="E556" s="72"/>
      <c r="F556" s="615"/>
      <c r="G556" s="741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1:27" s="123" customFormat="1">
      <c r="A557" s="73"/>
      <c r="B557" s="73"/>
      <c r="C557" s="72"/>
      <c r="D557" s="577"/>
      <c r="E557" s="72"/>
      <c r="F557" s="615"/>
      <c r="G557" s="741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1:27" s="123" customFormat="1">
      <c r="A558" s="73"/>
      <c r="B558" s="73"/>
      <c r="C558" s="72"/>
      <c r="D558" s="577"/>
      <c r="E558" s="72"/>
      <c r="F558" s="615"/>
      <c r="G558" s="741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1:27" s="123" customFormat="1">
      <c r="A559" s="73"/>
      <c r="B559" s="73"/>
      <c r="C559" s="72"/>
      <c r="D559" s="577"/>
      <c r="E559" s="72"/>
      <c r="F559" s="615"/>
      <c r="G559" s="741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</row>
    <row r="560" spans="1:27" s="123" customFormat="1">
      <c r="A560" s="73"/>
      <c r="B560" s="73"/>
      <c r="C560" s="72"/>
      <c r="D560" s="577"/>
      <c r="E560" s="72"/>
      <c r="F560" s="615"/>
      <c r="G560" s="741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</row>
    <row r="561" spans="1:27" s="123" customFormat="1">
      <c r="A561" s="73"/>
      <c r="B561" s="73"/>
      <c r="C561" s="72"/>
      <c r="D561" s="577"/>
      <c r="E561" s="72"/>
      <c r="F561" s="615"/>
      <c r="G561" s="741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</row>
    <row r="562" spans="1:27" s="123" customFormat="1">
      <c r="A562" s="73"/>
      <c r="B562" s="73"/>
      <c r="C562" s="72"/>
      <c r="D562" s="577"/>
      <c r="E562" s="72"/>
      <c r="F562" s="615"/>
      <c r="G562" s="741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</row>
    <row r="563" spans="1:27" s="123" customFormat="1">
      <c r="A563" s="73"/>
      <c r="B563" s="73"/>
      <c r="C563" s="72"/>
      <c r="D563" s="577"/>
      <c r="E563" s="72"/>
      <c r="F563" s="615"/>
      <c r="G563" s="741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</row>
    <row r="564" spans="1:27" s="123" customFormat="1">
      <c r="A564" s="73"/>
      <c r="B564" s="73"/>
      <c r="C564" s="72"/>
      <c r="D564" s="577"/>
      <c r="E564" s="72"/>
      <c r="F564" s="615"/>
      <c r="G564" s="741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</row>
    <row r="565" spans="1:27" s="123" customFormat="1">
      <c r="A565" s="73"/>
      <c r="B565" s="73"/>
      <c r="C565" s="72"/>
      <c r="D565" s="577"/>
      <c r="E565" s="72"/>
      <c r="F565" s="615"/>
      <c r="G565" s="741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</row>
    <row r="566" spans="1:27" s="123" customFormat="1">
      <c r="A566" s="73"/>
      <c r="B566" s="73"/>
      <c r="C566" s="72"/>
      <c r="D566" s="577"/>
      <c r="E566" s="72"/>
      <c r="F566" s="615"/>
      <c r="G566" s="741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</row>
    <row r="567" spans="1:27" s="123" customFormat="1">
      <c r="A567" s="73"/>
      <c r="B567" s="73"/>
      <c r="C567" s="72"/>
      <c r="D567" s="577"/>
      <c r="E567" s="72"/>
      <c r="F567" s="615"/>
      <c r="G567" s="741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</row>
    <row r="568" spans="1:27" s="123" customFormat="1">
      <c r="A568" s="73"/>
      <c r="B568" s="73"/>
      <c r="C568" s="72"/>
      <c r="D568" s="577"/>
      <c r="E568" s="72"/>
      <c r="F568" s="615"/>
      <c r="G568" s="741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</row>
    <row r="569" spans="1:27" s="123" customFormat="1">
      <c r="A569" s="73"/>
      <c r="B569" s="73"/>
      <c r="C569" s="72"/>
      <c r="D569" s="577"/>
      <c r="E569" s="72"/>
      <c r="F569" s="615"/>
      <c r="G569" s="741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</row>
    <row r="570" spans="1:27" s="123" customFormat="1">
      <c r="A570" s="73"/>
      <c r="B570" s="73"/>
      <c r="C570" s="72"/>
      <c r="D570" s="577"/>
      <c r="E570" s="72"/>
      <c r="F570" s="615"/>
      <c r="G570" s="741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</row>
    <row r="571" spans="1:27" s="123" customFormat="1">
      <c r="A571" s="73"/>
      <c r="B571" s="73"/>
      <c r="C571" s="72"/>
      <c r="D571" s="577"/>
      <c r="E571" s="72"/>
      <c r="F571" s="615"/>
      <c r="G571" s="741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</row>
    <row r="572" spans="1:27" s="123" customFormat="1">
      <c r="A572" s="73"/>
      <c r="B572" s="73"/>
      <c r="C572" s="72"/>
      <c r="D572" s="577"/>
      <c r="E572" s="72"/>
      <c r="F572" s="615"/>
      <c r="G572" s="741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</row>
    <row r="573" spans="1:27" s="123" customFormat="1">
      <c r="A573" s="73"/>
      <c r="B573" s="73"/>
      <c r="C573" s="72"/>
      <c r="D573" s="577"/>
      <c r="E573" s="72"/>
      <c r="F573" s="615"/>
      <c r="G573" s="741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</row>
    <row r="574" spans="1:27" s="123" customFormat="1">
      <c r="A574" s="73"/>
      <c r="B574" s="73"/>
      <c r="C574" s="72"/>
      <c r="D574" s="577"/>
      <c r="E574" s="72"/>
      <c r="F574" s="615"/>
      <c r="G574" s="741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</row>
    <row r="575" spans="1:27" s="123" customFormat="1">
      <c r="A575" s="73"/>
      <c r="B575" s="73"/>
      <c r="C575" s="72"/>
      <c r="D575" s="577"/>
      <c r="E575" s="72"/>
      <c r="F575" s="615"/>
      <c r="G575" s="741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</row>
    <row r="576" spans="1:27" s="123" customFormat="1">
      <c r="A576" s="73"/>
      <c r="B576" s="73"/>
      <c r="C576" s="72"/>
      <c r="D576" s="577"/>
      <c r="E576" s="72"/>
      <c r="F576" s="615"/>
      <c r="G576" s="741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</row>
    <row r="577" spans="1:27" s="123" customFormat="1">
      <c r="A577" s="73"/>
      <c r="B577" s="73"/>
      <c r="C577" s="72"/>
      <c r="D577" s="577"/>
      <c r="E577" s="72"/>
      <c r="F577" s="615"/>
      <c r="G577" s="741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</row>
    <row r="578" spans="1:27" s="123" customFormat="1">
      <c r="A578" s="73"/>
      <c r="B578" s="73"/>
      <c r="C578" s="72"/>
      <c r="D578" s="577"/>
      <c r="E578" s="72"/>
      <c r="F578" s="615"/>
      <c r="G578" s="741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</row>
    <row r="579" spans="1:27" s="123" customFormat="1">
      <c r="A579" s="73"/>
      <c r="B579" s="73"/>
      <c r="C579" s="72"/>
      <c r="D579" s="577"/>
      <c r="E579" s="72"/>
      <c r="F579" s="615"/>
      <c r="G579" s="741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</row>
    <row r="580" spans="1:27" s="123" customFormat="1">
      <c r="A580" s="73"/>
      <c r="B580" s="73"/>
      <c r="C580" s="72"/>
      <c r="D580" s="577"/>
      <c r="E580" s="72"/>
      <c r="F580" s="615"/>
      <c r="G580" s="741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</row>
    <row r="581" spans="1:27" s="123" customFormat="1">
      <c r="A581" s="73"/>
      <c r="B581" s="73"/>
      <c r="C581" s="72"/>
      <c r="D581" s="577"/>
      <c r="E581" s="72"/>
      <c r="F581" s="615"/>
      <c r="G581" s="741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</row>
    <row r="582" spans="1:27" s="123" customFormat="1">
      <c r="A582" s="73"/>
      <c r="B582" s="73"/>
      <c r="C582" s="72"/>
      <c r="D582" s="577"/>
      <c r="E582" s="72"/>
      <c r="F582" s="615"/>
      <c r="G582" s="741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</row>
    <row r="583" spans="1:27" s="123" customFormat="1">
      <c r="A583" s="73"/>
      <c r="B583" s="73"/>
      <c r="C583" s="72"/>
      <c r="D583" s="577"/>
      <c r="E583" s="72"/>
      <c r="F583" s="615"/>
      <c r="G583" s="741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</row>
    <row r="584" spans="1:27" s="123" customFormat="1">
      <c r="A584" s="73"/>
      <c r="B584" s="73"/>
      <c r="C584" s="72"/>
      <c r="D584" s="577"/>
      <c r="E584" s="72"/>
      <c r="F584" s="615"/>
      <c r="G584" s="741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</row>
    <row r="585" spans="1:27" s="123" customFormat="1">
      <c r="A585" s="73"/>
      <c r="B585" s="73"/>
      <c r="C585" s="72"/>
      <c r="D585" s="577"/>
      <c r="E585" s="72"/>
      <c r="F585" s="615"/>
      <c r="G585" s="741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</row>
    <row r="586" spans="1:27" s="123" customFormat="1">
      <c r="A586" s="73"/>
      <c r="B586" s="73"/>
      <c r="C586" s="72"/>
      <c r="D586" s="577"/>
      <c r="E586" s="72"/>
      <c r="F586" s="615"/>
      <c r="G586" s="741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</row>
    <row r="587" spans="1:27" s="123" customFormat="1">
      <c r="A587" s="73"/>
      <c r="B587" s="73"/>
      <c r="C587" s="72"/>
      <c r="D587" s="577"/>
      <c r="E587" s="72"/>
      <c r="F587" s="615"/>
      <c r="G587" s="741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</row>
    <row r="588" spans="1:27" s="123" customFormat="1">
      <c r="A588" s="73"/>
      <c r="B588" s="73"/>
      <c r="C588" s="72"/>
      <c r="D588" s="577"/>
      <c r="E588" s="72"/>
      <c r="F588" s="615"/>
      <c r="G588" s="741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</row>
    <row r="589" spans="1:27" s="123" customFormat="1">
      <c r="A589" s="73"/>
      <c r="B589" s="73"/>
      <c r="C589" s="72"/>
      <c r="D589" s="577"/>
      <c r="E589" s="72"/>
      <c r="F589" s="615"/>
      <c r="G589" s="741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</row>
    <row r="590" spans="1:27" s="123" customFormat="1">
      <c r="A590" s="73"/>
      <c r="B590" s="73"/>
      <c r="C590" s="72"/>
      <c r="D590" s="577"/>
      <c r="E590" s="72"/>
      <c r="F590" s="615"/>
      <c r="G590" s="741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s="123" customFormat="1">
      <c r="A591" s="73"/>
      <c r="B591" s="73"/>
      <c r="C591" s="72"/>
      <c r="D591" s="577"/>
      <c r="E591" s="72"/>
      <c r="F591" s="615"/>
      <c r="G591" s="741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</row>
    <row r="592" spans="1:27" s="123" customFormat="1">
      <c r="A592" s="73"/>
      <c r="B592" s="73"/>
      <c r="C592" s="72"/>
      <c r="D592" s="577"/>
      <c r="E592" s="72"/>
      <c r="F592" s="615"/>
      <c r="G592" s="741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</row>
    <row r="593" spans="1:27" s="123" customFormat="1">
      <c r="A593" s="73"/>
      <c r="B593" s="73"/>
      <c r="C593" s="72"/>
      <c r="D593" s="577"/>
      <c r="E593" s="72"/>
      <c r="F593" s="615"/>
      <c r="G593" s="741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</row>
    <row r="594" spans="1:27" s="123" customFormat="1">
      <c r="A594" s="73"/>
      <c r="B594" s="73"/>
      <c r="C594" s="72"/>
      <c r="D594" s="577"/>
      <c r="E594" s="72"/>
      <c r="F594" s="615"/>
      <c r="G594" s="741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</row>
    <row r="595" spans="1:27" s="123" customFormat="1">
      <c r="A595" s="73"/>
      <c r="B595" s="73"/>
      <c r="C595" s="72"/>
      <c r="D595" s="577"/>
      <c r="E595" s="72"/>
      <c r="F595" s="615"/>
      <c r="G595" s="741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</row>
    <row r="596" spans="1:27" s="123" customFormat="1">
      <c r="A596" s="73"/>
      <c r="B596" s="73"/>
      <c r="C596" s="72"/>
      <c r="D596" s="577"/>
      <c r="E596" s="72"/>
      <c r="F596" s="615"/>
      <c r="G596" s="741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</row>
    <row r="597" spans="1:27" s="123" customFormat="1">
      <c r="A597" s="73"/>
      <c r="B597" s="73"/>
      <c r="C597" s="72"/>
      <c r="D597" s="577"/>
      <c r="E597" s="72"/>
      <c r="F597" s="615"/>
      <c r="G597" s="741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</row>
    <row r="598" spans="1:27" s="123" customFormat="1">
      <c r="A598" s="73"/>
      <c r="B598" s="73"/>
      <c r="C598" s="72"/>
      <c r="D598" s="577"/>
      <c r="E598" s="72"/>
      <c r="F598" s="615"/>
      <c r="G598" s="741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</row>
    <row r="599" spans="1:27" s="123" customFormat="1">
      <c r="A599" s="73"/>
      <c r="B599" s="73"/>
      <c r="C599" s="72"/>
      <c r="D599" s="577"/>
      <c r="E599" s="72"/>
      <c r="F599" s="615"/>
      <c r="G599" s="741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</row>
    <row r="600" spans="1:27" s="123" customFormat="1">
      <c r="A600" s="73"/>
      <c r="B600" s="73"/>
      <c r="C600" s="72"/>
      <c r="D600" s="577"/>
      <c r="E600" s="72"/>
      <c r="F600" s="615"/>
      <c r="G600" s="741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</row>
    <row r="601" spans="1:27" s="123" customFormat="1">
      <c r="A601" s="73"/>
      <c r="B601" s="73"/>
      <c r="C601" s="72"/>
      <c r="D601" s="577"/>
      <c r="E601" s="72"/>
      <c r="F601" s="615"/>
      <c r="G601" s="741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</row>
    <row r="602" spans="1:27" s="123" customFormat="1">
      <c r="A602" s="73"/>
      <c r="B602" s="73"/>
      <c r="C602" s="72"/>
      <c r="D602" s="577"/>
      <c r="E602" s="72"/>
      <c r="F602" s="615"/>
      <c r="G602" s="741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</row>
    <row r="603" spans="1:27" s="123" customFormat="1">
      <c r="A603" s="73"/>
      <c r="B603" s="73"/>
      <c r="C603" s="72"/>
      <c r="D603" s="577"/>
      <c r="E603" s="72"/>
      <c r="F603" s="615"/>
      <c r="G603" s="741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27" s="123" customFormat="1">
      <c r="A604" s="73"/>
      <c r="B604" s="73"/>
      <c r="C604" s="72"/>
      <c r="D604" s="577"/>
      <c r="E604" s="72"/>
      <c r="F604" s="615"/>
      <c r="G604" s="741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</row>
    <row r="605" spans="1:27" s="123" customFormat="1">
      <c r="A605" s="73"/>
      <c r="B605" s="73"/>
      <c r="C605" s="72"/>
      <c r="D605" s="577"/>
      <c r="E605" s="72"/>
      <c r="F605" s="615"/>
      <c r="G605" s="741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</row>
    <row r="606" spans="1:27" s="123" customFormat="1">
      <c r="A606" s="73"/>
      <c r="B606" s="73"/>
      <c r="C606" s="72"/>
      <c r="D606" s="577"/>
      <c r="E606" s="72"/>
      <c r="F606" s="615"/>
      <c r="G606" s="741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</row>
    <row r="607" spans="1:27" s="123" customFormat="1">
      <c r="A607" s="73"/>
      <c r="B607" s="73"/>
      <c r="C607" s="72"/>
      <c r="D607" s="577"/>
      <c r="E607" s="72"/>
      <c r="F607" s="615"/>
      <c r="G607" s="741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</row>
    <row r="608" spans="1:27" s="123" customFormat="1">
      <c r="A608" s="73"/>
      <c r="B608" s="73"/>
      <c r="C608" s="72"/>
      <c r="D608" s="577"/>
      <c r="E608" s="72"/>
      <c r="F608" s="615"/>
      <c r="G608" s="741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</row>
    <row r="609" spans="1:27" s="123" customFormat="1">
      <c r="A609" s="73"/>
      <c r="B609" s="73"/>
      <c r="C609" s="72"/>
      <c r="D609" s="577"/>
      <c r="E609" s="72"/>
      <c r="F609" s="615"/>
      <c r="G609" s="741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</row>
    <row r="610" spans="1:27" s="123" customFormat="1">
      <c r="A610" s="73"/>
      <c r="B610" s="73"/>
      <c r="C610" s="72"/>
      <c r="D610" s="577"/>
      <c r="E610" s="72"/>
      <c r="F610" s="615"/>
      <c r="G610" s="741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</row>
    <row r="611" spans="1:27" s="123" customFormat="1">
      <c r="A611" s="73"/>
      <c r="B611" s="73"/>
      <c r="C611" s="72"/>
      <c r="D611" s="577"/>
      <c r="E611" s="72"/>
      <c r="F611" s="615"/>
      <c r="G611" s="741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</row>
    <row r="612" spans="1:27" s="123" customFormat="1">
      <c r="A612" s="73"/>
      <c r="B612" s="73"/>
      <c r="C612" s="72"/>
      <c r="D612" s="577"/>
      <c r="E612" s="72"/>
      <c r="F612" s="615"/>
      <c r="G612" s="741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</row>
    <row r="613" spans="1:27" s="123" customFormat="1">
      <c r="A613" s="73"/>
      <c r="B613" s="73"/>
      <c r="C613" s="72"/>
      <c r="D613" s="577"/>
      <c r="E613" s="72"/>
      <c r="F613" s="615"/>
      <c r="G613" s="741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</row>
    <row r="614" spans="1:27" s="123" customFormat="1">
      <c r="A614" s="73"/>
      <c r="B614" s="73"/>
      <c r="C614" s="72"/>
      <c r="D614" s="577"/>
      <c r="E614" s="72"/>
      <c r="F614" s="615"/>
      <c r="G614" s="741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</row>
    <row r="615" spans="1:27" s="123" customFormat="1">
      <c r="A615" s="73"/>
      <c r="B615" s="73"/>
      <c r="C615" s="72"/>
      <c r="D615" s="577"/>
      <c r="E615" s="72"/>
      <c r="F615" s="615"/>
      <c r="G615" s="741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</row>
    <row r="616" spans="1:27" s="123" customFormat="1">
      <c r="A616" s="73"/>
      <c r="B616" s="73"/>
      <c r="C616" s="72"/>
      <c r="D616" s="577"/>
      <c r="E616" s="72"/>
      <c r="F616" s="615"/>
      <c r="G616" s="741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</row>
    <row r="617" spans="1:27" s="123" customFormat="1">
      <c r="A617" s="73"/>
      <c r="B617" s="73"/>
      <c r="C617" s="72"/>
      <c r="D617" s="577"/>
      <c r="E617" s="72"/>
      <c r="F617" s="615"/>
      <c r="G617" s="741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</row>
    <row r="618" spans="1:27" s="123" customFormat="1">
      <c r="A618" s="73"/>
      <c r="B618" s="73"/>
      <c r="C618" s="72"/>
      <c r="D618" s="577"/>
      <c r="E618" s="72"/>
      <c r="F618" s="615"/>
      <c r="G618" s="741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</row>
    <row r="619" spans="1:27" s="123" customFormat="1">
      <c r="A619" s="73"/>
      <c r="B619" s="73"/>
      <c r="C619" s="72"/>
      <c r="D619" s="577"/>
      <c r="E619" s="72"/>
      <c r="F619" s="615"/>
      <c r="G619" s="741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</row>
    <row r="620" spans="1:27" s="123" customFormat="1">
      <c r="A620" s="73"/>
      <c r="B620" s="73"/>
      <c r="C620" s="72"/>
      <c r="D620" s="577"/>
      <c r="E620" s="72"/>
      <c r="F620" s="615"/>
      <c r="G620" s="741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</row>
    <row r="621" spans="1:27" s="123" customFormat="1">
      <c r="A621" s="73"/>
      <c r="B621" s="73"/>
      <c r="C621" s="72"/>
      <c r="D621" s="577"/>
      <c r="E621" s="72"/>
      <c r="F621" s="615"/>
      <c r="G621" s="741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</row>
    <row r="622" spans="1:27" s="123" customFormat="1">
      <c r="A622" s="73"/>
      <c r="B622" s="73"/>
      <c r="C622" s="72"/>
      <c r="D622" s="577"/>
      <c r="E622" s="72"/>
      <c r="F622" s="615"/>
      <c r="G622" s="741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</row>
    <row r="623" spans="1:27" s="123" customFormat="1">
      <c r="A623" s="73"/>
      <c r="B623" s="73"/>
      <c r="C623" s="72"/>
      <c r="D623" s="577"/>
      <c r="E623" s="72"/>
      <c r="F623" s="615"/>
      <c r="G623" s="741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</row>
    <row r="624" spans="1:27" s="123" customFormat="1">
      <c r="A624" s="73"/>
      <c r="B624" s="73"/>
      <c r="C624" s="72"/>
      <c r="D624" s="577"/>
      <c r="E624" s="72"/>
      <c r="F624" s="615"/>
      <c r="G624" s="741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</row>
    <row r="625" spans="1:27" s="123" customFormat="1">
      <c r="A625" s="73"/>
      <c r="B625" s="73"/>
      <c r="C625" s="72"/>
      <c r="D625" s="577"/>
      <c r="E625" s="72"/>
      <c r="F625" s="615"/>
      <c r="G625" s="741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</row>
    <row r="626" spans="1:27" s="123" customFormat="1">
      <c r="A626" s="73"/>
      <c r="B626" s="73"/>
      <c r="C626" s="72"/>
      <c r="D626" s="577"/>
      <c r="E626" s="72"/>
      <c r="F626" s="615"/>
      <c r="G626" s="741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</row>
    <row r="627" spans="1:27" s="123" customFormat="1">
      <c r="A627" s="73"/>
      <c r="B627" s="73"/>
      <c r="C627" s="72"/>
      <c r="D627" s="577"/>
      <c r="E627" s="72"/>
      <c r="F627" s="615"/>
      <c r="G627" s="741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</row>
    <row r="628" spans="1:27" s="123" customFormat="1">
      <c r="A628" s="73"/>
      <c r="B628" s="73"/>
      <c r="C628" s="72"/>
      <c r="D628" s="577"/>
      <c r="E628" s="72"/>
      <c r="F628" s="615"/>
      <c r="G628" s="741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</row>
    <row r="629" spans="1:27" s="123" customFormat="1">
      <c r="A629" s="73"/>
      <c r="B629" s="73"/>
      <c r="C629" s="72"/>
      <c r="D629" s="577"/>
      <c r="E629" s="72"/>
      <c r="F629" s="615"/>
      <c r="G629" s="741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</row>
    <row r="630" spans="1:27" s="123" customFormat="1">
      <c r="A630" s="73"/>
      <c r="B630" s="73"/>
      <c r="C630" s="72"/>
      <c r="D630" s="577"/>
      <c r="E630" s="72"/>
      <c r="F630" s="615"/>
      <c r="G630" s="741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</row>
    <row r="631" spans="1:27" s="123" customFormat="1">
      <c r="A631" s="73"/>
      <c r="B631" s="73"/>
      <c r="C631" s="72"/>
      <c r="D631" s="577"/>
      <c r="E631" s="72"/>
      <c r="F631" s="615"/>
      <c r="G631" s="741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</row>
    <row r="632" spans="1:27" s="123" customFormat="1">
      <c r="A632" s="73"/>
      <c r="B632" s="73"/>
      <c r="C632" s="72"/>
      <c r="D632" s="577"/>
      <c r="E632" s="72"/>
      <c r="F632" s="615"/>
      <c r="G632" s="741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</row>
    <row r="633" spans="1:27" s="123" customFormat="1">
      <c r="A633" s="73"/>
      <c r="B633" s="73"/>
      <c r="C633" s="72"/>
      <c r="D633" s="577"/>
      <c r="E633" s="72"/>
      <c r="F633" s="615"/>
      <c r="G633" s="741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</row>
    <row r="634" spans="1:27" s="123" customFormat="1">
      <c r="A634" s="73"/>
      <c r="B634" s="73"/>
      <c r="C634" s="72"/>
      <c r="D634" s="577"/>
      <c r="E634" s="72"/>
      <c r="F634" s="615"/>
      <c r="G634" s="741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</row>
    <row r="635" spans="1:27" s="123" customFormat="1">
      <c r="A635" s="73"/>
      <c r="B635" s="73"/>
      <c r="C635" s="72"/>
      <c r="D635" s="577"/>
      <c r="E635" s="72"/>
      <c r="F635" s="615"/>
      <c r="G635" s="741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</row>
    <row r="636" spans="1:27" s="123" customFormat="1">
      <c r="A636" s="73"/>
      <c r="B636" s="73"/>
      <c r="C636" s="72"/>
      <c r="D636" s="577"/>
      <c r="E636" s="72"/>
      <c r="F636" s="615"/>
      <c r="G636" s="741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</row>
    <row r="637" spans="1:27" s="123" customFormat="1">
      <c r="A637" s="73"/>
      <c r="B637" s="73"/>
      <c r="C637" s="72"/>
      <c r="D637" s="577"/>
      <c r="E637" s="72"/>
      <c r="F637" s="615"/>
      <c r="G637" s="741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</row>
    <row r="638" spans="1:27" s="123" customFormat="1">
      <c r="A638" s="73"/>
      <c r="B638" s="73"/>
      <c r="C638" s="72"/>
      <c r="D638" s="577"/>
      <c r="E638" s="72"/>
      <c r="F638" s="615"/>
      <c r="G638" s="741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</row>
    <row r="639" spans="1:27" s="123" customFormat="1">
      <c r="A639" s="73"/>
      <c r="B639" s="73"/>
      <c r="C639" s="72"/>
      <c r="D639" s="577"/>
      <c r="E639" s="72"/>
      <c r="F639" s="615"/>
      <c r="G639" s="741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</row>
    <row r="640" spans="1:27" s="123" customFormat="1">
      <c r="A640" s="73"/>
      <c r="B640" s="73"/>
      <c r="C640" s="72"/>
      <c r="D640" s="577"/>
      <c r="E640" s="72"/>
      <c r="F640" s="615"/>
      <c r="G640" s="741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</row>
    <row r="641" spans="1:27" s="123" customFormat="1">
      <c r="A641" s="73"/>
      <c r="B641" s="73"/>
      <c r="C641" s="72"/>
      <c r="D641" s="577"/>
      <c r="E641" s="72"/>
      <c r="F641" s="615"/>
      <c r="G641" s="741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</row>
    <row r="642" spans="1:27" s="123" customFormat="1">
      <c r="A642" s="73"/>
      <c r="B642" s="73"/>
      <c r="C642" s="72"/>
      <c r="D642" s="577"/>
      <c r="E642" s="72"/>
      <c r="F642" s="615"/>
      <c r="G642" s="741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</row>
    <row r="643" spans="1:27" s="123" customFormat="1">
      <c r="A643" s="73"/>
      <c r="B643" s="73"/>
      <c r="C643" s="72"/>
      <c r="D643" s="577"/>
      <c r="E643" s="72"/>
      <c r="F643" s="615"/>
      <c r="G643" s="741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</row>
    <row r="644" spans="1:27" s="123" customFormat="1">
      <c r="A644" s="73"/>
      <c r="B644" s="73"/>
      <c r="C644" s="72"/>
      <c r="D644" s="577"/>
      <c r="E644" s="72"/>
      <c r="F644" s="615"/>
      <c r="G644" s="741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</row>
    <row r="645" spans="1:27" s="123" customFormat="1">
      <c r="A645" s="73"/>
      <c r="B645" s="73"/>
      <c r="C645" s="72"/>
      <c r="D645" s="577"/>
      <c r="E645" s="72"/>
      <c r="F645" s="615"/>
      <c r="G645" s="741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</row>
    <row r="646" spans="1:27" s="123" customFormat="1">
      <c r="A646" s="73"/>
      <c r="B646" s="73"/>
      <c r="C646" s="72"/>
      <c r="D646" s="577"/>
      <c r="E646" s="72"/>
      <c r="F646" s="615"/>
      <c r="G646" s="741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</row>
    <row r="647" spans="1:27" s="123" customFormat="1">
      <c r="A647" s="73"/>
      <c r="B647" s="73"/>
      <c r="C647" s="72"/>
      <c r="D647" s="577"/>
      <c r="E647" s="72"/>
      <c r="F647" s="615"/>
      <c r="G647" s="741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</row>
    <row r="648" spans="1:27" s="123" customFormat="1">
      <c r="A648" s="73"/>
      <c r="B648" s="73"/>
      <c r="C648" s="72"/>
      <c r="D648" s="577"/>
      <c r="E648" s="72"/>
      <c r="F648" s="615"/>
      <c r="G648" s="741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</row>
    <row r="649" spans="1:27" s="123" customFormat="1">
      <c r="A649" s="73"/>
      <c r="B649" s="73"/>
      <c r="C649" s="72"/>
      <c r="D649" s="577"/>
      <c r="E649" s="72"/>
      <c r="F649" s="615"/>
      <c r="G649" s="741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</row>
    <row r="650" spans="1:27" s="123" customFormat="1">
      <c r="A650" s="73"/>
      <c r="B650" s="73"/>
      <c r="C650" s="72"/>
      <c r="D650" s="577"/>
      <c r="E650" s="72"/>
      <c r="F650" s="615"/>
      <c r="G650" s="741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</row>
    <row r="651" spans="1:27" s="123" customFormat="1">
      <c r="A651" s="73"/>
      <c r="B651" s="73"/>
      <c r="C651" s="72"/>
      <c r="D651" s="577"/>
      <c r="E651" s="72"/>
      <c r="F651" s="615"/>
      <c r="G651" s="741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</row>
    <row r="652" spans="1:27" s="123" customFormat="1">
      <c r="A652" s="73"/>
      <c r="B652" s="73"/>
      <c r="C652" s="72"/>
      <c r="D652" s="577"/>
      <c r="E652" s="72"/>
      <c r="F652" s="615"/>
      <c r="G652" s="741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</row>
    <row r="653" spans="1:27" s="123" customFormat="1">
      <c r="A653" s="73"/>
      <c r="B653" s="73"/>
      <c r="C653" s="72"/>
      <c r="D653" s="577"/>
      <c r="E653" s="72"/>
      <c r="F653" s="615"/>
      <c r="G653" s="741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</row>
    <row r="654" spans="1:27" s="123" customFormat="1">
      <c r="A654" s="73"/>
      <c r="B654" s="73"/>
      <c r="C654" s="72"/>
      <c r="D654" s="577"/>
      <c r="E654" s="72"/>
      <c r="F654" s="615"/>
      <c r="G654" s="741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</row>
    <row r="655" spans="1:27" s="123" customFormat="1">
      <c r="A655" s="73"/>
      <c r="B655" s="73"/>
      <c r="C655" s="72"/>
      <c r="D655" s="577"/>
      <c r="E655" s="72"/>
      <c r="F655" s="615"/>
      <c r="G655" s="741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</row>
    <row r="656" spans="1:27" s="123" customFormat="1">
      <c r="A656" s="73"/>
      <c r="B656" s="73"/>
      <c r="C656" s="72"/>
      <c r="D656" s="577"/>
      <c r="E656" s="72"/>
      <c r="F656" s="615"/>
      <c r="G656" s="741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</row>
    <row r="657" spans="1:27" s="123" customFormat="1">
      <c r="A657" s="73"/>
      <c r="B657" s="73"/>
      <c r="C657" s="72"/>
      <c r="D657" s="577"/>
      <c r="E657" s="72"/>
      <c r="F657" s="615"/>
      <c r="G657" s="741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</row>
    <row r="658" spans="1:27" s="123" customFormat="1">
      <c r="A658" s="73"/>
      <c r="B658" s="73"/>
      <c r="C658" s="72"/>
      <c r="D658" s="577"/>
      <c r="E658" s="72"/>
      <c r="F658" s="615"/>
      <c r="G658" s="741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</row>
    <row r="659" spans="1:27" s="123" customFormat="1">
      <c r="A659" s="73"/>
      <c r="B659" s="73"/>
      <c r="C659" s="72"/>
      <c r="D659" s="577"/>
      <c r="E659" s="72"/>
      <c r="F659" s="615"/>
      <c r="G659" s="741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</row>
    <row r="660" spans="1:27" s="123" customFormat="1">
      <c r="A660" s="73"/>
      <c r="B660" s="73"/>
      <c r="C660" s="72"/>
      <c r="D660" s="577"/>
      <c r="E660" s="72"/>
      <c r="F660" s="615"/>
      <c r="G660" s="741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</row>
    <row r="661" spans="1:27" s="123" customFormat="1">
      <c r="A661" s="73"/>
      <c r="B661" s="73"/>
      <c r="C661" s="72"/>
      <c r="D661" s="577"/>
      <c r="E661" s="72"/>
      <c r="F661" s="615"/>
      <c r="G661" s="741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</row>
    <row r="662" spans="1:27" s="123" customFormat="1">
      <c r="A662" s="73"/>
      <c r="B662" s="73"/>
      <c r="C662" s="72"/>
      <c r="D662" s="577"/>
      <c r="E662" s="72"/>
      <c r="F662" s="615"/>
      <c r="G662" s="741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</row>
    <row r="663" spans="1:27" s="123" customFormat="1">
      <c r="A663" s="73"/>
      <c r="B663" s="73"/>
      <c r="C663" s="72"/>
      <c r="D663" s="577"/>
      <c r="E663" s="72"/>
      <c r="F663" s="615"/>
      <c r="G663" s="741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</row>
    <row r="664" spans="1:27" s="123" customFormat="1">
      <c r="A664" s="73"/>
      <c r="B664" s="73"/>
      <c r="C664" s="72"/>
      <c r="D664" s="577"/>
      <c r="E664" s="72"/>
      <c r="F664" s="615"/>
      <c r="G664" s="741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</row>
    <row r="665" spans="1:27" s="123" customFormat="1">
      <c r="A665" s="73"/>
      <c r="B665" s="73"/>
      <c r="C665" s="72"/>
      <c r="D665" s="577"/>
      <c r="E665" s="72"/>
      <c r="F665" s="615"/>
      <c r="G665" s="741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</row>
    <row r="666" spans="1:27" s="123" customFormat="1">
      <c r="A666" s="73"/>
      <c r="B666" s="73"/>
      <c r="C666" s="72"/>
      <c r="D666" s="577"/>
      <c r="E666" s="72"/>
      <c r="F666" s="615"/>
      <c r="G666" s="741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</row>
    <row r="667" spans="1:27" s="123" customFormat="1">
      <c r="A667" s="73"/>
      <c r="B667" s="73"/>
      <c r="C667" s="72"/>
      <c r="D667" s="577"/>
      <c r="E667" s="72"/>
      <c r="F667" s="615"/>
      <c r="G667" s="741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pans="1:27" s="123" customFormat="1">
      <c r="A668" s="73"/>
      <c r="B668" s="73"/>
      <c r="C668" s="72"/>
      <c r="D668" s="577"/>
      <c r="E668" s="72"/>
      <c r="F668" s="615"/>
      <c r="G668" s="741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</row>
    <row r="669" spans="1:27" s="123" customFormat="1">
      <c r="A669" s="73"/>
      <c r="B669" s="73"/>
      <c r="C669" s="72"/>
      <c r="D669" s="577"/>
      <c r="E669" s="72"/>
      <c r="F669" s="615"/>
      <c r="G669" s="741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</row>
    <row r="670" spans="1:27" s="123" customFormat="1">
      <c r="A670" s="73"/>
      <c r="B670" s="73"/>
      <c r="C670" s="72"/>
      <c r="D670" s="577"/>
      <c r="E670" s="72"/>
      <c r="F670" s="615"/>
      <c r="G670" s="741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</row>
    <row r="671" spans="1:27" s="123" customFormat="1">
      <c r="A671" s="73"/>
      <c r="B671" s="73"/>
      <c r="C671" s="72"/>
      <c r="D671" s="577"/>
      <c r="E671" s="72"/>
      <c r="F671" s="615"/>
      <c r="G671" s="741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</row>
    <row r="672" spans="1:27" s="123" customFormat="1">
      <c r="A672" s="73"/>
      <c r="B672" s="73"/>
      <c r="C672" s="72"/>
      <c r="D672" s="577"/>
      <c r="E672" s="72"/>
      <c r="F672" s="615"/>
      <c r="G672" s="741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</row>
    <row r="673" spans="1:27" s="123" customFormat="1">
      <c r="A673" s="73"/>
      <c r="B673" s="73"/>
      <c r="C673" s="72"/>
      <c r="D673" s="577"/>
      <c r="E673" s="72"/>
      <c r="F673" s="615"/>
      <c r="G673" s="741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</row>
    <row r="674" spans="1:27" s="123" customFormat="1">
      <c r="A674" s="73"/>
      <c r="B674" s="73"/>
      <c r="C674" s="72"/>
      <c r="D674" s="577"/>
      <c r="E674" s="72"/>
      <c r="F674" s="615"/>
      <c r="G674" s="741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</row>
    <row r="675" spans="1:27" s="123" customFormat="1">
      <c r="A675" s="73"/>
      <c r="B675" s="73"/>
      <c r="C675" s="72"/>
      <c r="D675" s="577"/>
      <c r="E675" s="72"/>
      <c r="F675" s="615"/>
      <c r="G675" s="741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</row>
    <row r="676" spans="1:27" s="123" customFormat="1">
      <c r="A676" s="73"/>
      <c r="B676" s="73"/>
      <c r="C676" s="72"/>
      <c r="D676" s="577"/>
      <c r="E676" s="72"/>
      <c r="F676" s="615"/>
      <c r="G676" s="741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</row>
    <row r="677" spans="1:27" s="123" customFormat="1">
      <c r="A677" s="73"/>
      <c r="B677" s="73"/>
      <c r="C677" s="72"/>
      <c r="D677" s="577"/>
      <c r="E677" s="72"/>
      <c r="F677" s="615"/>
      <c r="G677" s="741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s="123" customFormat="1">
      <c r="A678" s="73"/>
      <c r="B678" s="73"/>
      <c r="C678" s="72"/>
      <c r="D678" s="577"/>
      <c r="E678" s="72"/>
      <c r="F678" s="615"/>
      <c r="G678" s="741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</row>
  </sheetData>
  <mergeCells count="2">
    <mergeCell ref="A8:I8"/>
    <mergeCell ref="A20:AB20"/>
  </mergeCells>
  <pageMargins left="0.70866141732283472" right="0.70866141732283472" top="0.74803149606299213" bottom="0.74803149606299213" header="0.31496062992125984" footer="0.31496062992125984"/>
  <pageSetup paperSize="9" scale="36" fitToHeight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5"/>
  <sheetViews>
    <sheetView workbookViewId="0">
      <pane ySplit="2" topLeftCell="A93" activePane="bottomLeft" state="frozen"/>
      <selection activeCell="F101" sqref="F101"/>
      <selection pane="bottomLeft" activeCell="I142" sqref="I142:I143"/>
    </sheetView>
  </sheetViews>
  <sheetFormatPr defaultColWidth="8.85546875" defaultRowHeight="12.75"/>
  <cols>
    <col min="1" max="4" width="4" style="742" bestFit="1" customWidth="1"/>
    <col min="5" max="5" width="3" style="742" bestFit="1" customWidth="1"/>
    <col min="6" max="6" width="3.28515625" style="742" customWidth="1"/>
    <col min="7" max="7" width="70.42578125" style="742" customWidth="1"/>
    <col min="8" max="8" width="17.7109375" style="822" customWidth="1"/>
    <col min="9" max="10" width="15.28515625" style="823" customWidth="1"/>
    <col min="11" max="11" width="5.5703125" style="742" customWidth="1"/>
    <col min="12" max="16384" width="8.85546875" style="742"/>
  </cols>
  <sheetData>
    <row r="1" spans="1:14" ht="21" customHeight="1" thickBot="1">
      <c r="A1" s="1055" t="s">
        <v>119</v>
      </c>
      <c r="B1" s="1056"/>
      <c r="C1" s="1056"/>
      <c r="D1" s="1056"/>
      <c r="E1" s="1056"/>
      <c r="F1" s="1057"/>
      <c r="G1" s="1058" t="s">
        <v>4341</v>
      </c>
      <c r="H1" s="1060" t="s">
        <v>4342</v>
      </c>
      <c r="I1" s="1062" t="s">
        <v>4877</v>
      </c>
      <c r="J1" s="1062" t="s">
        <v>4343</v>
      </c>
    </row>
    <row r="2" spans="1:14" s="37" customFormat="1" ht="27.6" customHeight="1" thickBot="1">
      <c r="A2" s="210" t="s">
        <v>122</v>
      </c>
      <c r="B2" s="210" t="s">
        <v>123</v>
      </c>
      <c r="C2" s="210" t="s">
        <v>124</v>
      </c>
      <c r="D2" s="210" t="s">
        <v>125</v>
      </c>
      <c r="E2" s="210" t="s">
        <v>126</v>
      </c>
      <c r="F2" s="210" t="s">
        <v>127</v>
      </c>
      <c r="G2" s="1059"/>
      <c r="H2" s="1061"/>
      <c r="I2" s="1063"/>
      <c r="J2" s="1063"/>
    </row>
    <row r="3" spans="1:14" s="749" customFormat="1">
      <c r="A3" s="743">
        <v>10</v>
      </c>
      <c r="B3" s="744">
        <v>0</v>
      </c>
      <c r="C3" s="744">
        <v>0</v>
      </c>
      <c r="D3" s="744">
        <v>0</v>
      </c>
      <c r="E3" s="744">
        <v>0</v>
      </c>
      <c r="F3" s="745">
        <v>0</v>
      </c>
      <c r="G3" s="746" t="s">
        <v>4344</v>
      </c>
      <c r="H3" s="747"/>
      <c r="I3" s="748"/>
      <c r="J3" s="748"/>
      <c r="N3" s="750"/>
    </row>
    <row r="4" spans="1:14" s="37" customFormat="1">
      <c r="A4" s="751">
        <v>10</v>
      </c>
      <c r="B4" s="752">
        <v>100</v>
      </c>
      <c r="C4" s="752"/>
      <c r="D4" s="752"/>
      <c r="E4" s="752"/>
      <c r="F4" s="753"/>
      <c r="G4" s="754" t="s">
        <v>4345</v>
      </c>
      <c r="H4" s="755" t="s">
        <v>3712</v>
      </c>
      <c r="I4" s="756"/>
      <c r="J4" s="756"/>
    </row>
    <row r="5" spans="1:14" s="37" customFormat="1">
      <c r="A5" s="751">
        <v>10</v>
      </c>
      <c r="B5" s="752">
        <v>200</v>
      </c>
      <c r="C5" s="752"/>
      <c r="D5" s="752"/>
      <c r="E5" s="752"/>
      <c r="F5" s="753"/>
      <c r="G5" s="754" t="s">
        <v>4346</v>
      </c>
      <c r="H5" s="755" t="s">
        <v>3718</v>
      </c>
      <c r="I5" s="756"/>
      <c r="J5" s="756"/>
    </row>
    <row r="6" spans="1:14" s="37" customFormat="1">
      <c r="A6" s="751">
        <v>10</v>
      </c>
      <c r="B6" s="757">
        <v>300</v>
      </c>
      <c r="C6" s="757"/>
      <c r="D6" s="757"/>
      <c r="E6" s="757"/>
      <c r="F6" s="758"/>
      <c r="G6" s="759" t="s">
        <v>4347</v>
      </c>
      <c r="H6" s="755"/>
      <c r="I6" s="760"/>
      <c r="J6" s="760"/>
    </row>
    <row r="7" spans="1:14" s="37" customFormat="1" ht="25.5">
      <c r="A7" s="751">
        <v>10</v>
      </c>
      <c r="B7" s="757">
        <v>300</v>
      </c>
      <c r="C7" s="752">
        <v>100</v>
      </c>
      <c r="D7" s="752"/>
      <c r="E7" s="752"/>
      <c r="F7" s="753"/>
      <c r="G7" s="754" t="s">
        <v>4348</v>
      </c>
      <c r="H7" s="755" t="s">
        <v>3724</v>
      </c>
      <c r="I7" s="756"/>
      <c r="J7" s="756"/>
    </row>
    <row r="8" spans="1:14" s="37" customFormat="1">
      <c r="A8" s="751">
        <v>10</v>
      </c>
      <c r="B8" s="757">
        <v>300</v>
      </c>
      <c r="C8" s="752">
        <v>200</v>
      </c>
      <c r="D8" s="752"/>
      <c r="E8" s="752"/>
      <c r="F8" s="753"/>
      <c r="G8" s="754" t="s">
        <v>4349</v>
      </c>
      <c r="H8" s="755" t="s">
        <v>3728</v>
      </c>
      <c r="I8" s="756"/>
      <c r="J8" s="756"/>
    </row>
    <row r="9" spans="1:14" s="37" customFormat="1">
      <c r="A9" s="751">
        <v>10</v>
      </c>
      <c r="B9" s="752">
        <v>400</v>
      </c>
      <c r="C9" s="752"/>
      <c r="D9" s="752"/>
      <c r="E9" s="752"/>
      <c r="F9" s="753"/>
      <c r="G9" s="754" t="s">
        <v>3538</v>
      </c>
      <c r="H9" s="755" t="s">
        <v>3732</v>
      </c>
      <c r="I9" s="756"/>
      <c r="J9" s="756"/>
    </row>
    <row r="10" spans="1:14" s="37" customFormat="1">
      <c r="A10" s="751">
        <v>10</v>
      </c>
      <c r="B10" s="757">
        <v>500</v>
      </c>
      <c r="C10" s="757"/>
      <c r="D10" s="757"/>
      <c r="E10" s="757"/>
      <c r="F10" s="758"/>
      <c r="G10" s="759" t="s">
        <v>3540</v>
      </c>
      <c r="H10" s="755"/>
      <c r="I10" s="760"/>
      <c r="J10" s="760"/>
    </row>
    <row r="11" spans="1:14" s="37" customFormat="1">
      <c r="A11" s="751">
        <v>10</v>
      </c>
      <c r="B11" s="757">
        <v>500</v>
      </c>
      <c r="C11" s="752">
        <v>100</v>
      </c>
      <c r="D11" s="752"/>
      <c r="E11" s="752"/>
      <c r="F11" s="753"/>
      <c r="G11" s="754" t="s">
        <v>4350</v>
      </c>
      <c r="H11" s="755" t="s">
        <v>3736</v>
      </c>
      <c r="I11" s="369">
        <v>301098</v>
      </c>
      <c r="J11" s="369">
        <v>301098</v>
      </c>
    </row>
    <row r="12" spans="1:14" s="37" customFormat="1">
      <c r="A12" s="751">
        <v>10</v>
      </c>
      <c r="B12" s="757">
        <v>500</v>
      </c>
      <c r="C12" s="752">
        <v>200</v>
      </c>
      <c r="D12" s="752"/>
      <c r="E12" s="752"/>
      <c r="F12" s="753"/>
      <c r="G12" s="754" t="s">
        <v>4351</v>
      </c>
      <c r="H12" s="755" t="s">
        <v>3740</v>
      </c>
      <c r="I12" s="369">
        <v>39838</v>
      </c>
      <c r="J12" s="369">
        <v>39838</v>
      </c>
    </row>
    <row r="13" spans="1:14" s="37" customFormat="1">
      <c r="A13" s="751">
        <v>10</v>
      </c>
      <c r="B13" s="757">
        <v>500</v>
      </c>
      <c r="C13" s="752">
        <v>300</v>
      </c>
      <c r="D13" s="752"/>
      <c r="E13" s="752"/>
      <c r="F13" s="753"/>
      <c r="G13" s="754" t="s">
        <v>4352</v>
      </c>
      <c r="H13" s="755" t="s">
        <v>3744</v>
      </c>
      <c r="I13" s="756"/>
      <c r="J13" s="756"/>
    </row>
    <row r="14" spans="1:14" s="37" customFormat="1">
      <c r="A14" s="751">
        <v>10</v>
      </c>
      <c r="B14" s="757">
        <v>500</v>
      </c>
      <c r="C14" s="752">
        <v>400</v>
      </c>
      <c r="D14" s="752"/>
      <c r="E14" s="752"/>
      <c r="F14" s="753"/>
      <c r="G14" s="754" t="s">
        <v>3540</v>
      </c>
      <c r="H14" s="755" t="s">
        <v>3748</v>
      </c>
      <c r="I14" s="756"/>
      <c r="J14" s="756"/>
    </row>
    <row r="15" spans="1:14" s="749" customFormat="1">
      <c r="A15" s="761">
        <v>20</v>
      </c>
      <c r="B15" s="762">
        <v>0</v>
      </c>
      <c r="C15" s="762">
        <v>0</v>
      </c>
      <c r="D15" s="762">
        <v>0</v>
      </c>
      <c r="E15" s="762">
        <v>0</v>
      </c>
      <c r="F15" s="763">
        <v>0</v>
      </c>
      <c r="G15" s="764" t="s">
        <v>4353</v>
      </c>
      <c r="H15" s="765"/>
      <c r="I15" s="766"/>
      <c r="J15" s="766"/>
    </row>
    <row r="16" spans="1:14" s="37" customFormat="1">
      <c r="A16" s="751">
        <v>20</v>
      </c>
      <c r="B16" s="767">
        <v>100</v>
      </c>
      <c r="C16" s="767"/>
      <c r="D16" s="767"/>
      <c r="E16" s="767"/>
      <c r="F16" s="768"/>
      <c r="G16" s="759" t="s">
        <v>3542</v>
      </c>
      <c r="H16" s="755"/>
      <c r="I16" s="760"/>
      <c r="J16" s="760"/>
    </row>
    <row r="17" spans="1:12" s="37" customFormat="1">
      <c r="A17" s="751">
        <v>20</v>
      </c>
      <c r="B17" s="767">
        <v>100</v>
      </c>
      <c r="C17" s="769">
        <v>100</v>
      </c>
      <c r="D17" s="769"/>
      <c r="E17" s="769"/>
      <c r="F17" s="770"/>
      <c r="G17" s="754" t="s">
        <v>3544</v>
      </c>
      <c r="H17" s="755" t="s">
        <v>3766</v>
      </c>
      <c r="I17" s="756"/>
      <c r="J17" s="756"/>
    </row>
    <row r="18" spans="1:12" s="37" customFormat="1">
      <c r="A18" s="751">
        <v>20</v>
      </c>
      <c r="B18" s="767">
        <v>100</v>
      </c>
      <c r="C18" s="769">
        <v>200</v>
      </c>
      <c r="D18" s="769"/>
      <c r="E18" s="769"/>
      <c r="F18" s="770"/>
      <c r="G18" s="754" t="s">
        <v>3546</v>
      </c>
      <c r="H18" s="755" t="s">
        <v>3768</v>
      </c>
      <c r="I18" s="756"/>
      <c r="J18" s="756"/>
    </row>
    <row r="19" spans="1:12" s="37" customFormat="1">
      <c r="A19" s="751">
        <v>20</v>
      </c>
      <c r="B19" s="767">
        <v>200</v>
      </c>
      <c r="C19" s="767"/>
      <c r="D19" s="767"/>
      <c r="E19" s="767"/>
      <c r="F19" s="768"/>
      <c r="G19" s="759" t="s">
        <v>3547</v>
      </c>
      <c r="H19" s="755"/>
      <c r="I19" s="760"/>
      <c r="J19" s="760"/>
    </row>
    <row r="20" spans="1:12" s="37" customFormat="1">
      <c r="A20" s="751">
        <v>20</v>
      </c>
      <c r="B20" s="767">
        <v>200</v>
      </c>
      <c r="C20" s="769">
        <v>100</v>
      </c>
      <c r="D20" s="769"/>
      <c r="E20" s="769"/>
      <c r="F20" s="770"/>
      <c r="G20" s="754" t="s">
        <v>3548</v>
      </c>
      <c r="H20" s="755" t="s">
        <v>3774</v>
      </c>
      <c r="I20" s="756">
        <v>2540046</v>
      </c>
      <c r="J20" s="756">
        <v>646905</v>
      </c>
    </row>
    <row r="21" spans="1:12" s="37" customFormat="1">
      <c r="A21" s="751">
        <v>20</v>
      </c>
      <c r="B21" s="767">
        <v>200</v>
      </c>
      <c r="C21" s="769">
        <v>200</v>
      </c>
      <c r="D21" s="769"/>
      <c r="E21" s="769"/>
      <c r="F21" s="770"/>
      <c r="G21" s="754" t="s">
        <v>3549</v>
      </c>
      <c r="H21" s="755" t="s">
        <v>3780</v>
      </c>
      <c r="I21" s="756">
        <v>40393736</v>
      </c>
      <c r="J21" s="756">
        <v>34063819</v>
      </c>
    </row>
    <row r="22" spans="1:12" s="37" customFormat="1">
      <c r="A22" s="751">
        <v>20</v>
      </c>
      <c r="B22" s="752">
        <v>300</v>
      </c>
      <c r="C22" s="769"/>
      <c r="D22" s="769"/>
      <c r="E22" s="769"/>
      <c r="F22" s="770"/>
      <c r="G22" s="754" t="s">
        <v>3550</v>
      </c>
      <c r="H22" s="755" t="s">
        <v>3786</v>
      </c>
      <c r="I22" s="756">
        <v>3662940</v>
      </c>
      <c r="J22" s="756">
        <v>3142568</v>
      </c>
    </row>
    <row r="23" spans="1:12" s="37" customFormat="1">
      <c r="A23" s="751">
        <v>20</v>
      </c>
      <c r="B23" s="752">
        <v>400</v>
      </c>
      <c r="C23" s="769"/>
      <c r="D23" s="769"/>
      <c r="E23" s="769"/>
      <c r="F23" s="770"/>
      <c r="G23" s="754" t="s">
        <v>3551</v>
      </c>
      <c r="H23" s="755" t="s">
        <v>3792</v>
      </c>
      <c r="I23" s="756">
        <v>30434295</v>
      </c>
      <c r="J23" s="756">
        <v>31942436</v>
      </c>
    </row>
    <row r="24" spans="1:12" s="37" customFormat="1">
      <c r="A24" s="751">
        <v>20</v>
      </c>
      <c r="B24" s="752">
        <v>500</v>
      </c>
      <c r="C24" s="752"/>
      <c r="D24" s="752"/>
      <c r="E24" s="752"/>
      <c r="F24" s="753"/>
      <c r="G24" s="754" t="s">
        <v>3552</v>
      </c>
      <c r="H24" s="755" t="s">
        <v>3798</v>
      </c>
      <c r="I24" s="756">
        <v>2820446</v>
      </c>
      <c r="J24" s="756">
        <v>2610680</v>
      </c>
    </row>
    <row r="25" spans="1:12" s="37" customFormat="1">
      <c r="A25" s="751">
        <v>20</v>
      </c>
      <c r="B25" s="752">
        <v>600</v>
      </c>
      <c r="C25" s="752"/>
      <c r="D25" s="752"/>
      <c r="E25" s="752"/>
      <c r="F25" s="753"/>
      <c r="G25" s="754" t="s">
        <v>3554</v>
      </c>
      <c r="H25" s="755" t="s">
        <v>3804</v>
      </c>
      <c r="I25" s="756">
        <v>134088</v>
      </c>
      <c r="J25" s="756">
        <v>134088</v>
      </c>
    </row>
    <row r="26" spans="1:12" s="37" customFormat="1">
      <c r="A26" s="751">
        <v>20</v>
      </c>
      <c r="B26" s="752">
        <v>700</v>
      </c>
      <c r="C26" s="752"/>
      <c r="D26" s="752"/>
      <c r="E26" s="752"/>
      <c r="F26" s="753"/>
      <c r="G26" s="754" t="s">
        <v>3556</v>
      </c>
      <c r="H26" s="755" t="s">
        <v>3808</v>
      </c>
      <c r="I26" s="756"/>
      <c r="J26" s="756"/>
    </row>
    <row r="27" spans="1:12" s="37" customFormat="1">
      <c r="A27" s="751">
        <v>20</v>
      </c>
      <c r="B27" s="752">
        <v>800</v>
      </c>
      <c r="C27" s="757"/>
      <c r="D27" s="757"/>
      <c r="E27" s="757"/>
      <c r="F27" s="758"/>
      <c r="G27" s="754" t="s">
        <v>3558</v>
      </c>
      <c r="H27" s="755" t="s">
        <v>3812</v>
      </c>
      <c r="I27" s="756">
        <v>5885379</v>
      </c>
      <c r="J27" s="756">
        <v>5675333</v>
      </c>
    </row>
    <row r="28" spans="1:12" s="37" customFormat="1">
      <c r="A28" s="771">
        <v>20</v>
      </c>
      <c r="B28" s="767">
        <v>900</v>
      </c>
      <c r="C28" s="769"/>
      <c r="D28" s="769"/>
      <c r="E28" s="769"/>
      <c r="F28" s="770"/>
      <c r="G28" s="772" t="s">
        <v>3560</v>
      </c>
      <c r="H28" s="773" t="s">
        <v>3816</v>
      </c>
      <c r="I28" s="756">
        <v>1514302</v>
      </c>
      <c r="J28" s="756">
        <v>5548834</v>
      </c>
    </row>
    <row r="29" spans="1:12" s="749" customFormat="1">
      <c r="A29" s="774">
        <v>30</v>
      </c>
      <c r="B29" s="775">
        <v>0</v>
      </c>
      <c r="C29" s="775">
        <v>0</v>
      </c>
      <c r="D29" s="775">
        <v>0</v>
      </c>
      <c r="E29" s="775">
        <v>0</v>
      </c>
      <c r="F29" s="776">
        <v>0</v>
      </c>
      <c r="G29" s="777" t="s">
        <v>4354</v>
      </c>
      <c r="H29" s="778"/>
      <c r="I29" s="779"/>
      <c r="J29" s="779"/>
    </row>
    <row r="30" spans="1:12" s="37" customFormat="1">
      <c r="A30" s="751">
        <v>30</v>
      </c>
      <c r="B30" s="757">
        <v>100</v>
      </c>
      <c r="C30" s="757"/>
      <c r="D30" s="757"/>
      <c r="E30" s="757"/>
      <c r="F30" s="758"/>
      <c r="G30" s="759" t="s">
        <v>3564</v>
      </c>
      <c r="H30" s="755"/>
      <c r="I30" s="760"/>
      <c r="J30" s="760"/>
      <c r="L30" s="780"/>
    </row>
    <row r="31" spans="1:12" s="37" customFormat="1">
      <c r="A31" s="751">
        <v>30</v>
      </c>
      <c r="B31" s="757">
        <v>100</v>
      </c>
      <c r="C31" s="752">
        <v>100</v>
      </c>
      <c r="D31" s="752"/>
      <c r="E31" s="752"/>
      <c r="F31" s="753"/>
      <c r="G31" s="754" t="s">
        <v>3565</v>
      </c>
      <c r="H31" s="755" t="s">
        <v>3840</v>
      </c>
      <c r="I31" s="756"/>
      <c r="J31" s="756"/>
    </row>
    <row r="32" spans="1:12" s="37" customFormat="1">
      <c r="A32" s="751">
        <v>30</v>
      </c>
      <c r="B32" s="757">
        <v>100</v>
      </c>
      <c r="C32" s="752">
        <v>200</v>
      </c>
      <c r="D32" s="752"/>
      <c r="E32" s="752"/>
      <c r="F32" s="753"/>
      <c r="G32" s="754" t="s">
        <v>3566</v>
      </c>
      <c r="H32" s="755" t="s">
        <v>3842</v>
      </c>
      <c r="I32" s="756"/>
      <c r="J32" s="756"/>
    </row>
    <row r="33" spans="1:10" s="37" customFormat="1">
      <c r="A33" s="751">
        <v>30</v>
      </c>
      <c r="B33" s="757">
        <v>100</v>
      </c>
      <c r="C33" s="752">
        <v>300</v>
      </c>
      <c r="D33" s="752"/>
      <c r="E33" s="752"/>
      <c r="F33" s="753"/>
      <c r="G33" s="754" t="s">
        <v>3568</v>
      </c>
      <c r="H33" s="755" t="s">
        <v>3844</v>
      </c>
      <c r="I33" s="756"/>
      <c r="J33" s="756"/>
    </row>
    <row r="34" spans="1:10" s="37" customFormat="1">
      <c r="A34" s="751">
        <v>30</v>
      </c>
      <c r="B34" s="757">
        <v>100</v>
      </c>
      <c r="C34" s="757">
        <v>400</v>
      </c>
      <c r="D34" s="757"/>
      <c r="E34" s="757"/>
      <c r="F34" s="758"/>
      <c r="G34" s="759" t="s">
        <v>3570</v>
      </c>
      <c r="H34" s="755" t="s">
        <v>3846</v>
      </c>
      <c r="I34" s="760"/>
      <c r="J34" s="760"/>
    </row>
    <row r="35" spans="1:10" s="37" customFormat="1">
      <c r="A35" s="751">
        <v>30</v>
      </c>
      <c r="B35" s="757">
        <v>100</v>
      </c>
      <c r="C35" s="757">
        <v>400</v>
      </c>
      <c r="D35" s="752">
        <v>100</v>
      </c>
      <c r="E35" s="752"/>
      <c r="F35" s="753"/>
      <c r="G35" s="781" t="s">
        <v>4355</v>
      </c>
      <c r="H35" s="755"/>
      <c r="I35" s="756"/>
      <c r="J35" s="756"/>
    </row>
    <row r="36" spans="1:10" s="37" customFormat="1">
      <c r="A36" s="751">
        <v>30</v>
      </c>
      <c r="B36" s="757">
        <v>100</v>
      </c>
      <c r="C36" s="757">
        <v>400</v>
      </c>
      <c r="D36" s="752">
        <v>200</v>
      </c>
      <c r="E36" s="752"/>
      <c r="F36" s="753"/>
      <c r="G36" s="781" t="s">
        <v>4356</v>
      </c>
      <c r="H36" s="755"/>
      <c r="I36" s="756"/>
      <c r="J36" s="756"/>
    </row>
    <row r="37" spans="1:10" s="37" customFormat="1">
      <c r="A37" s="751">
        <v>30</v>
      </c>
      <c r="B37" s="757">
        <v>100</v>
      </c>
      <c r="C37" s="757">
        <v>400</v>
      </c>
      <c r="D37" s="752">
        <v>300</v>
      </c>
      <c r="E37" s="752"/>
      <c r="F37" s="753"/>
      <c r="G37" s="781" t="s">
        <v>4357</v>
      </c>
      <c r="H37" s="755"/>
      <c r="I37" s="756">
        <v>177095</v>
      </c>
      <c r="J37" s="756">
        <v>177095</v>
      </c>
    </row>
    <row r="38" spans="1:10" s="37" customFormat="1">
      <c r="A38" s="751">
        <v>30</v>
      </c>
      <c r="B38" s="757">
        <v>200</v>
      </c>
      <c r="C38" s="757"/>
      <c r="D38" s="757"/>
      <c r="E38" s="757"/>
      <c r="F38" s="758"/>
      <c r="G38" s="759" t="s">
        <v>3571</v>
      </c>
      <c r="H38" s="755"/>
      <c r="I38" s="760"/>
      <c r="J38" s="760"/>
    </row>
    <row r="39" spans="1:10" s="37" customFormat="1">
      <c r="A39" s="751">
        <v>30</v>
      </c>
      <c r="B39" s="757">
        <v>200</v>
      </c>
      <c r="C39" s="752">
        <v>100</v>
      </c>
      <c r="D39" s="752"/>
      <c r="E39" s="752"/>
      <c r="F39" s="753"/>
      <c r="G39" s="754" t="s">
        <v>3572</v>
      </c>
      <c r="H39" s="755" t="s">
        <v>3850</v>
      </c>
      <c r="I39" s="756">
        <v>5000</v>
      </c>
      <c r="J39" s="756">
        <v>5000</v>
      </c>
    </row>
    <row r="40" spans="1:10" s="37" customFormat="1">
      <c r="A40" s="751">
        <v>30</v>
      </c>
      <c r="B40" s="757">
        <v>200</v>
      </c>
      <c r="C40" s="757">
        <v>200</v>
      </c>
      <c r="D40" s="757"/>
      <c r="E40" s="757"/>
      <c r="F40" s="758"/>
      <c r="G40" s="759" t="s">
        <v>3573</v>
      </c>
      <c r="H40" s="755"/>
      <c r="I40" s="760"/>
      <c r="J40" s="760"/>
    </row>
    <row r="41" spans="1:10" s="37" customFormat="1">
      <c r="A41" s="751">
        <v>30</v>
      </c>
      <c r="B41" s="757">
        <v>200</v>
      </c>
      <c r="C41" s="757">
        <v>200</v>
      </c>
      <c r="D41" s="752">
        <v>100</v>
      </c>
      <c r="E41" s="752"/>
      <c r="F41" s="753"/>
      <c r="G41" s="754" t="s">
        <v>4358</v>
      </c>
      <c r="H41" s="755" t="s">
        <v>3854</v>
      </c>
      <c r="I41" s="756"/>
      <c r="J41" s="756"/>
    </row>
    <row r="42" spans="1:10" s="37" customFormat="1">
      <c r="A42" s="751">
        <v>30</v>
      </c>
      <c r="B42" s="757">
        <v>200</v>
      </c>
      <c r="C42" s="757">
        <v>200</v>
      </c>
      <c r="D42" s="752">
        <v>200</v>
      </c>
      <c r="E42" s="752"/>
      <c r="F42" s="753"/>
      <c r="G42" s="754" t="s">
        <v>4359</v>
      </c>
      <c r="H42" s="755" t="s">
        <v>3856</v>
      </c>
      <c r="I42" s="756"/>
      <c r="J42" s="756"/>
    </row>
    <row r="43" spans="1:10" s="37" customFormat="1">
      <c r="A43" s="751">
        <v>30</v>
      </c>
      <c r="B43" s="757">
        <v>200</v>
      </c>
      <c r="C43" s="757">
        <v>200</v>
      </c>
      <c r="D43" s="752">
        <v>300</v>
      </c>
      <c r="E43" s="752"/>
      <c r="F43" s="753"/>
      <c r="G43" s="754" t="s">
        <v>4360</v>
      </c>
      <c r="H43" s="755" t="s">
        <v>3858</v>
      </c>
      <c r="I43" s="756"/>
      <c r="J43" s="756"/>
    </row>
    <row r="44" spans="1:10" s="37" customFormat="1">
      <c r="A44" s="751">
        <v>30</v>
      </c>
      <c r="B44" s="757">
        <v>200</v>
      </c>
      <c r="C44" s="757">
        <v>200</v>
      </c>
      <c r="D44" s="752">
        <v>400</v>
      </c>
      <c r="E44" s="752"/>
      <c r="F44" s="753"/>
      <c r="G44" s="754" t="s">
        <v>4361</v>
      </c>
      <c r="H44" s="755" t="s">
        <v>3860</v>
      </c>
      <c r="I44" s="756"/>
      <c r="J44" s="756"/>
    </row>
    <row r="45" spans="1:10" s="749" customFormat="1">
      <c r="A45" s="761">
        <v>100</v>
      </c>
      <c r="B45" s="762">
        <v>0</v>
      </c>
      <c r="C45" s="762">
        <v>0</v>
      </c>
      <c r="D45" s="762">
        <v>0</v>
      </c>
      <c r="E45" s="762">
        <v>0</v>
      </c>
      <c r="F45" s="763">
        <v>0</v>
      </c>
      <c r="G45" s="764" t="s">
        <v>4362</v>
      </c>
      <c r="H45" s="765"/>
      <c r="I45" s="766"/>
      <c r="J45" s="766"/>
    </row>
    <row r="46" spans="1:10" s="37" customFormat="1">
      <c r="A46" s="751">
        <v>100</v>
      </c>
      <c r="B46" s="757">
        <v>100</v>
      </c>
      <c r="C46" s="757"/>
      <c r="D46" s="757"/>
      <c r="E46" s="757"/>
      <c r="F46" s="758"/>
      <c r="G46" s="759" t="s">
        <v>3577</v>
      </c>
      <c r="H46" s="755"/>
      <c r="I46" s="760"/>
      <c r="J46" s="760"/>
    </row>
    <row r="47" spans="1:10" s="37" customFormat="1">
      <c r="A47" s="751">
        <v>100</v>
      </c>
      <c r="B47" s="757">
        <v>100</v>
      </c>
      <c r="C47" s="757">
        <v>100</v>
      </c>
      <c r="D47" s="757"/>
      <c r="E47" s="757"/>
      <c r="F47" s="758"/>
      <c r="G47" s="759" t="s">
        <v>539</v>
      </c>
      <c r="H47" s="755" t="s">
        <v>3868</v>
      </c>
      <c r="I47" s="760"/>
      <c r="J47" s="760"/>
    </row>
    <row r="48" spans="1:10" s="37" customFormat="1" ht="25.5">
      <c r="A48" s="751">
        <v>100</v>
      </c>
      <c r="B48" s="757">
        <v>100</v>
      </c>
      <c r="C48" s="757">
        <v>100</v>
      </c>
      <c r="D48" s="752">
        <v>10</v>
      </c>
      <c r="E48" s="752"/>
      <c r="F48" s="753"/>
      <c r="G48" s="782" t="s">
        <v>541</v>
      </c>
      <c r="H48" s="755"/>
      <c r="I48" s="369">
        <v>13092</v>
      </c>
      <c r="J48" s="369">
        <v>29547</v>
      </c>
    </row>
    <row r="49" spans="1:10" s="37" customFormat="1">
      <c r="A49" s="751">
        <v>100</v>
      </c>
      <c r="B49" s="757">
        <v>100</v>
      </c>
      <c r="C49" s="757">
        <v>100</v>
      </c>
      <c r="D49" s="752">
        <v>20</v>
      </c>
      <c r="E49" s="752"/>
      <c r="F49" s="753"/>
      <c r="G49" s="781" t="s">
        <v>544</v>
      </c>
      <c r="H49" s="755"/>
      <c r="I49" s="369">
        <v>5346</v>
      </c>
      <c r="J49" s="369">
        <v>2894</v>
      </c>
    </row>
    <row r="50" spans="1:10" s="37" customFormat="1">
      <c r="A50" s="751">
        <v>100</v>
      </c>
      <c r="B50" s="757">
        <v>100</v>
      </c>
      <c r="C50" s="757">
        <v>100</v>
      </c>
      <c r="D50" s="752">
        <v>30</v>
      </c>
      <c r="E50" s="752"/>
      <c r="F50" s="753"/>
      <c r="G50" s="781" t="s">
        <v>548</v>
      </c>
      <c r="H50" s="755"/>
      <c r="I50" s="756"/>
      <c r="J50" s="756"/>
    </row>
    <row r="51" spans="1:10" s="37" customFormat="1">
      <c r="A51" s="751">
        <v>100</v>
      </c>
      <c r="B51" s="757">
        <v>100</v>
      </c>
      <c r="C51" s="752">
        <v>200</v>
      </c>
      <c r="D51" s="752"/>
      <c r="E51" s="752"/>
      <c r="F51" s="753"/>
      <c r="G51" s="754" t="s">
        <v>556</v>
      </c>
      <c r="H51" s="755" t="s">
        <v>3870</v>
      </c>
      <c r="I51" s="756"/>
      <c r="J51" s="756"/>
    </row>
    <row r="52" spans="1:10" s="37" customFormat="1">
      <c r="A52" s="751">
        <v>100</v>
      </c>
      <c r="B52" s="757">
        <v>100</v>
      </c>
      <c r="C52" s="757">
        <v>300</v>
      </c>
      <c r="D52" s="757"/>
      <c r="E52" s="757"/>
      <c r="F52" s="758"/>
      <c r="G52" s="759" t="s">
        <v>564</v>
      </c>
      <c r="H52" s="755" t="s">
        <v>3872</v>
      </c>
      <c r="I52" s="760"/>
      <c r="J52" s="760"/>
    </row>
    <row r="53" spans="1:10" s="37" customFormat="1">
      <c r="A53" s="751">
        <v>100</v>
      </c>
      <c r="B53" s="757">
        <v>100</v>
      </c>
      <c r="C53" s="757">
        <v>300</v>
      </c>
      <c r="D53" s="752">
        <v>10</v>
      </c>
      <c r="E53" s="752"/>
      <c r="F53" s="753"/>
      <c r="G53" s="781" t="s">
        <v>564</v>
      </c>
      <c r="H53" s="755"/>
      <c r="I53" s="369">
        <v>63247</v>
      </c>
      <c r="J53" s="369">
        <v>64165</v>
      </c>
    </row>
    <row r="54" spans="1:10" s="37" customFormat="1">
      <c r="A54" s="751">
        <v>100</v>
      </c>
      <c r="B54" s="757">
        <v>100</v>
      </c>
      <c r="C54" s="757">
        <v>300</v>
      </c>
      <c r="D54" s="752">
        <v>20</v>
      </c>
      <c r="E54" s="752"/>
      <c r="F54" s="753"/>
      <c r="G54" s="781" t="s">
        <v>568</v>
      </c>
      <c r="H54" s="755"/>
      <c r="I54" s="369"/>
      <c r="J54" s="369"/>
    </row>
    <row r="55" spans="1:10" s="37" customFormat="1">
      <c r="A55" s="751">
        <v>100</v>
      </c>
      <c r="B55" s="757">
        <v>100</v>
      </c>
      <c r="C55" s="757">
        <v>300</v>
      </c>
      <c r="D55" s="752">
        <v>30</v>
      </c>
      <c r="E55" s="752"/>
      <c r="F55" s="753"/>
      <c r="G55" s="781" t="s">
        <v>570</v>
      </c>
      <c r="H55" s="755"/>
      <c r="I55" s="369">
        <v>780080</v>
      </c>
      <c r="J55" s="369">
        <v>1127336</v>
      </c>
    </row>
    <row r="56" spans="1:10" s="37" customFormat="1">
      <c r="A56" s="751">
        <v>100</v>
      </c>
      <c r="B56" s="757">
        <v>100</v>
      </c>
      <c r="C56" s="752">
        <v>400</v>
      </c>
      <c r="D56" s="752"/>
      <c r="E56" s="752"/>
      <c r="F56" s="753"/>
      <c r="G56" s="754" t="s">
        <v>572</v>
      </c>
      <c r="H56" s="755" t="s">
        <v>3874</v>
      </c>
      <c r="I56" s="369">
        <v>1406</v>
      </c>
      <c r="J56" s="369">
        <v>1253</v>
      </c>
    </row>
    <row r="57" spans="1:10" s="37" customFormat="1">
      <c r="A57" s="751">
        <v>100</v>
      </c>
      <c r="B57" s="757">
        <v>100</v>
      </c>
      <c r="C57" s="752">
        <v>500</v>
      </c>
      <c r="D57" s="752"/>
      <c r="E57" s="752"/>
      <c r="F57" s="753"/>
      <c r="G57" s="754" t="s">
        <v>574</v>
      </c>
      <c r="H57" s="755" t="s">
        <v>3876</v>
      </c>
      <c r="I57" s="756"/>
      <c r="J57" s="756"/>
    </row>
    <row r="58" spans="1:10" s="37" customFormat="1">
      <c r="A58" s="751">
        <v>100</v>
      </c>
      <c r="B58" s="757">
        <v>100</v>
      </c>
      <c r="C58" s="752">
        <v>600</v>
      </c>
      <c r="D58" s="752"/>
      <c r="E58" s="752"/>
      <c r="F58" s="753"/>
      <c r="G58" s="754" t="s">
        <v>576</v>
      </c>
      <c r="H58" s="755" t="s">
        <v>3878</v>
      </c>
      <c r="I58" s="756">
        <v>76457</v>
      </c>
      <c r="J58" s="756">
        <v>69146</v>
      </c>
    </row>
    <row r="59" spans="1:10" s="37" customFormat="1">
      <c r="A59" s="751">
        <v>100</v>
      </c>
      <c r="B59" s="757">
        <v>100</v>
      </c>
      <c r="C59" s="752">
        <v>700</v>
      </c>
      <c r="D59" s="752"/>
      <c r="E59" s="752"/>
      <c r="F59" s="753"/>
      <c r="G59" s="754" t="s">
        <v>578</v>
      </c>
      <c r="H59" s="755" t="s">
        <v>3880</v>
      </c>
      <c r="I59" s="756"/>
      <c r="J59" s="756"/>
    </row>
    <row r="60" spans="1:10" s="37" customFormat="1">
      <c r="A60" s="751">
        <v>100</v>
      </c>
      <c r="B60" s="757">
        <v>100</v>
      </c>
      <c r="C60" s="752">
        <v>800</v>
      </c>
      <c r="D60" s="752"/>
      <c r="E60" s="752"/>
      <c r="F60" s="753"/>
      <c r="G60" s="754" t="s">
        <v>580</v>
      </c>
      <c r="H60" s="755" t="s">
        <v>3882</v>
      </c>
      <c r="I60" s="369">
        <v>239098</v>
      </c>
      <c r="J60" s="369">
        <v>131495</v>
      </c>
    </row>
    <row r="61" spans="1:10" s="37" customFormat="1">
      <c r="A61" s="751">
        <v>100</v>
      </c>
      <c r="B61" s="757">
        <v>100</v>
      </c>
      <c r="C61" s="752">
        <v>900</v>
      </c>
      <c r="D61" s="752"/>
      <c r="E61" s="752"/>
      <c r="F61" s="753"/>
      <c r="G61" s="754" t="s">
        <v>4363</v>
      </c>
      <c r="H61" s="755" t="s">
        <v>3884</v>
      </c>
      <c r="I61" s="756"/>
      <c r="J61" s="756"/>
    </row>
    <row r="62" spans="1:10" s="37" customFormat="1">
      <c r="A62" s="751">
        <v>100</v>
      </c>
      <c r="B62" s="757">
        <v>200</v>
      </c>
      <c r="C62" s="757"/>
      <c r="D62" s="757"/>
      <c r="E62" s="757"/>
      <c r="F62" s="758"/>
      <c r="G62" s="759" t="s">
        <v>3578</v>
      </c>
      <c r="H62" s="755"/>
      <c r="I62" s="760"/>
      <c r="J62" s="760"/>
    </row>
    <row r="63" spans="1:10" s="37" customFormat="1">
      <c r="A63" s="751">
        <v>100</v>
      </c>
      <c r="B63" s="757">
        <v>200</v>
      </c>
      <c r="C63" s="752">
        <v>100</v>
      </c>
      <c r="D63" s="752"/>
      <c r="E63" s="752"/>
      <c r="F63" s="753"/>
      <c r="G63" s="754" t="s">
        <v>594</v>
      </c>
      <c r="H63" s="755" t="s">
        <v>3888</v>
      </c>
      <c r="I63" s="756">
        <v>93</v>
      </c>
      <c r="J63" s="756">
        <v>61</v>
      </c>
    </row>
    <row r="64" spans="1:10" s="37" customFormat="1">
      <c r="A64" s="751">
        <v>100</v>
      </c>
      <c r="B64" s="757">
        <v>200</v>
      </c>
      <c r="C64" s="752">
        <v>200</v>
      </c>
      <c r="D64" s="752"/>
      <c r="E64" s="752"/>
      <c r="F64" s="753"/>
      <c r="G64" s="754" t="s">
        <v>4364</v>
      </c>
      <c r="H64" s="755" t="s">
        <v>3890</v>
      </c>
      <c r="I64" s="756">
        <v>7921</v>
      </c>
      <c r="J64" s="756">
        <v>7647</v>
      </c>
    </row>
    <row r="65" spans="1:12" s="37" customFormat="1">
      <c r="A65" s="751">
        <v>100</v>
      </c>
      <c r="B65" s="757">
        <v>200</v>
      </c>
      <c r="C65" s="752">
        <v>300</v>
      </c>
      <c r="D65" s="752"/>
      <c r="E65" s="752"/>
      <c r="F65" s="753"/>
      <c r="G65" s="754" t="s">
        <v>598</v>
      </c>
      <c r="H65" s="755" t="s">
        <v>3892</v>
      </c>
      <c r="I65" s="756"/>
      <c r="J65" s="756"/>
    </row>
    <row r="66" spans="1:12" s="37" customFormat="1">
      <c r="A66" s="751">
        <v>100</v>
      </c>
      <c r="B66" s="757">
        <v>200</v>
      </c>
      <c r="C66" s="752">
        <v>400</v>
      </c>
      <c r="D66" s="752"/>
      <c r="E66" s="752"/>
      <c r="F66" s="753"/>
      <c r="G66" s="754" t="s">
        <v>600</v>
      </c>
      <c r="H66" s="755" t="s">
        <v>3894</v>
      </c>
      <c r="I66" s="756">
        <v>90433</v>
      </c>
      <c r="J66" s="756">
        <v>94431</v>
      </c>
    </row>
    <row r="67" spans="1:12" s="37" customFormat="1">
      <c r="A67" s="751">
        <v>100</v>
      </c>
      <c r="B67" s="757">
        <v>200</v>
      </c>
      <c r="C67" s="752">
        <v>500</v>
      </c>
      <c r="D67" s="752"/>
      <c r="E67" s="752"/>
      <c r="F67" s="753"/>
      <c r="G67" s="754" t="s">
        <v>605</v>
      </c>
      <c r="H67" s="755" t="s">
        <v>3896</v>
      </c>
      <c r="I67" s="756">
        <v>7486</v>
      </c>
      <c r="J67" s="756">
        <v>5742</v>
      </c>
    </row>
    <row r="68" spans="1:12" s="37" customFormat="1">
      <c r="A68" s="751">
        <v>100</v>
      </c>
      <c r="B68" s="757">
        <v>200</v>
      </c>
      <c r="C68" s="752">
        <v>600</v>
      </c>
      <c r="D68" s="752"/>
      <c r="E68" s="752"/>
      <c r="F68" s="753"/>
      <c r="G68" s="754" t="s">
        <v>609</v>
      </c>
      <c r="H68" s="755" t="s">
        <v>3898</v>
      </c>
      <c r="I68" s="756">
        <v>30998</v>
      </c>
      <c r="J68" s="756">
        <v>9140</v>
      </c>
    </row>
    <row r="69" spans="1:12" s="37" customFormat="1">
      <c r="A69" s="751">
        <v>100</v>
      </c>
      <c r="B69" s="757">
        <v>200</v>
      </c>
      <c r="C69" s="752">
        <v>700</v>
      </c>
      <c r="D69" s="752"/>
      <c r="E69" s="752"/>
      <c r="F69" s="753"/>
      <c r="G69" s="754" t="s">
        <v>4365</v>
      </c>
      <c r="H69" s="755" t="s">
        <v>3900</v>
      </c>
      <c r="I69" s="756"/>
      <c r="J69" s="756"/>
    </row>
    <row r="70" spans="1:12" s="749" customFormat="1">
      <c r="A70" s="761">
        <v>110</v>
      </c>
      <c r="B70" s="762">
        <v>0</v>
      </c>
      <c r="C70" s="762">
        <v>0</v>
      </c>
      <c r="D70" s="762">
        <v>0</v>
      </c>
      <c r="E70" s="762">
        <v>0</v>
      </c>
      <c r="F70" s="783"/>
      <c r="G70" s="764" t="s">
        <v>4366</v>
      </c>
      <c r="H70" s="784"/>
      <c r="I70" s="785"/>
      <c r="J70" s="785"/>
    </row>
    <row r="71" spans="1:12" s="37" customFormat="1">
      <c r="A71" s="751">
        <v>110</v>
      </c>
      <c r="B71" s="757">
        <v>100</v>
      </c>
      <c r="C71" s="757"/>
      <c r="D71" s="757"/>
      <c r="E71" s="757"/>
      <c r="F71" s="758"/>
      <c r="G71" s="759" t="s">
        <v>3582</v>
      </c>
      <c r="H71" s="755"/>
      <c r="I71" s="760"/>
      <c r="J71" s="760"/>
    </row>
    <row r="72" spans="1:12" s="37" customFormat="1">
      <c r="A72" s="751">
        <v>110</v>
      </c>
      <c r="B72" s="757">
        <v>100</v>
      </c>
      <c r="C72" s="752">
        <v>50</v>
      </c>
      <c r="D72" s="752"/>
      <c r="E72" s="757"/>
      <c r="F72" s="758"/>
      <c r="G72" s="754" t="s">
        <v>4367</v>
      </c>
      <c r="H72" s="755" t="s">
        <v>3906</v>
      </c>
      <c r="I72" s="756"/>
      <c r="J72" s="756">
        <v>0</v>
      </c>
      <c r="L72" s="780"/>
    </row>
    <row r="73" spans="1:12" s="37" customFormat="1">
      <c r="A73" s="751">
        <v>110</v>
      </c>
      <c r="B73" s="757">
        <v>100</v>
      </c>
      <c r="C73" s="752">
        <v>100</v>
      </c>
      <c r="D73" s="752"/>
      <c r="E73" s="752"/>
      <c r="F73" s="753"/>
      <c r="G73" s="754" t="s">
        <v>4368</v>
      </c>
      <c r="H73" s="755" t="s">
        <v>3908</v>
      </c>
      <c r="I73" s="756"/>
      <c r="J73" s="756">
        <v>2554235</v>
      </c>
    </row>
    <row r="74" spans="1:12" s="37" customFormat="1">
      <c r="A74" s="751">
        <v>110</v>
      </c>
      <c r="B74" s="757">
        <v>100</v>
      </c>
      <c r="C74" s="752">
        <v>200</v>
      </c>
      <c r="D74" s="752"/>
      <c r="E74" s="752"/>
      <c r="F74" s="753"/>
      <c r="G74" s="754" t="s">
        <v>4369</v>
      </c>
      <c r="H74" s="755" t="s">
        <v>3910</v>
      </c>
      <c r="I74" s="756"/>
      <c r="J74" s="756"/>
    </row>
    <row r="75" spans="1:12" s="37" customFormat="1">
      <c r="A75" s="751">
        <v>110</v>
      </c>
      <c r="B75" s="757">
        <v>100</v>
      </c>
      <c r="C75" s="752">
        <v>300</v>
      </c>
      <c r="D75" s="752"/>
      <c r="E75" s="752"/>
      <c r="F75" s="753"/>
      <c r="G75" s="754" t="s">
        <v>4370</v>
      </c>
      <c r="H75" s="755" t="s">
        <v>3912</v>
      </c>
      <c r="I75" s="756"/>
      <c r="J75" s="756"/>
    </row>
    <row r="76" spans="1:12" s="37" customFormat="1">
      <c r="A76" s="751">
        <v>110</v>
      </c>
      <c r="B76" s="757">
        <v>100</v>
      </c>
      <c r="C76" s="752">
        <v>400</v>
      </c>
      <c r="D76" s="752"/>
      <c r="E76" s="752"/>
      <c r="F76" s="753"/>
      <c r="G76" s="754" t="s">
        <v>4371</v>
      </c>
      <c r="H76" s="755" t="s">
        <v>3914</v>
      </c>
      <c r="I76" s="756"/>
      <c r="J76" s="756"/>
    </row>
    <row r="77" spans="1:12" s="37" customFormat="1">
      <c r="A77" s="751">
        <v>110</v>
      </c>
      <c r="B77" s="757">
        <v>100</v>
      </c>
      <c r="C77" s="752">
        <v>500</v>
      </c>
      <c r="D77" s="752"/>
      <c r="E77" s="752"/>
      <c r="F77" s="753"/>
      <c r="G77" s="754" t="s">
        <v>4372</v>
      </c>
      <c r="H77" s="755" t="s">
        <v>3916</v>
      </c>
      <c r="I77" s="756"/>
      <c r="J77" s="756"/>
    </row>
    <row r="78" spans="1:12" s="37" customFormat="1">
      <c r="A78" s="751">
        <v>110</v>
      </c>
      <c r="B78" s="757">
        <v>100</v>
      </c>
      <c r="C78" s="757">
        <v>600</v>
      </c>
      <c r="D78" s="757"/>
      <c r="E78" s="757"/>
      <c r="F78" s="758"/>
      <c r="G78" s="759" t="s">
        <v>4373</v>
      </c>
      <c r="H78" s="755" t="s">
        <v>3918</v>
      </c>
      <c r="I78" s="760"/>
      <c r="J78" s="760"/>
    </row>
    <row r="79" spans="1:12" s="37" customFormat="1">
      <c r="A79" s="751">
        <v>110</v>
      </c>
      <c r="B79" s="757">
        <v>100</v>
      </c>
      <c r="C79" s="757">
        <v>600</v>
      </c>
      <c r="D79" s="752">
        <v>100</v>
      </c>
      <c r="E79" s="752"/>
      <c r="F79" s="753"/>
      <c r="G79" s="754" t="s">
        <v>4373</v>
      </c>
      <c r="H79" s="755"/>
      <c r="I79" s="756">
        <v>774804</v>
      </c>
      <c r="J79" s="756">
        <v>753869</v>
      </c>
    </row>
    <row r="80" spans="1:12" s="37" customFormat="1">
      <c r="A80" s="751">
        <v>110</v>
      </c>
      <c r="B80" s="757">
        <v>100</v>
      </c>
      <c r="C80" s="757">
        <v>600</v>
      </c>
      <c r="D80" s="752">
        <v>800</v>
      </c>
      <c r="E80" s="752"/>
      <c r="F80" s="753"/>
      <c r="G80" s="754" t="s">
        <v>4374</v>
      </c>
      <c r="H80" s="755"/>
      <c r="I80" s="756"/>
      <c r="J80" s="756"/>
    </row>
    <row r="81" spans="1:10" s="37" customFormat="1">
      <c r="A81" s="751">
        <v>110</v>
      </c>
      <c r="B81" s="757">
        <v>100</v>
      </c>
      <c r="C81" s="757">
        <v>600</v>
      </c>
      <c r="D81" s="752">
        <v>900</v>
      </c>
      <c r="E81" s="752"/>
      <c r="F81" s="753"/>
      <c r="G81" s="754" t="s">
        <v>4375</v>
      </c>
      <c r="H81" s="755"/>
      <c r="I81" s="756"/>
      <c r="J81" s="756"/>
    </row>
    <row r="82" spans="1:10" s="37" customFormat="1">
      <c r="A82" s="751">
        <v>110</v>
      </c>
      <c r="B82" s="757">
        <v>100</v>
      </c>
      <c r="C82" s="757">
        <v>650</v>
      </c>
      <c r="D82" s="752"/>
      <c r="E82" s="757"/>
      <c r="F82" s="758"/>
      <c r="G82" s="754" t="s">
        <v>4376</v>
      </c>
      <c r="H82" s="755" t="s">
        <v>3920</v>
      </c>
      <c r="I82" s="756"/>
      <c r="J82" s="756"/>
    </row>
    <row r="83" spans="1:10" s="37" customFormat="1">
      <c r="A83" s="751">
        <v>110</v>
      </c>
      <c r="B83" s="757">
        <v>100</v>
      </c>
      <c r="C83" s="752">
        <v>700</v>
      </c>
      <c r="D83" s="752"/>
      <c r="E83" s="752"/>
      <c r="F83" s="753"/>
      <c r="G83" s="754" t="s">
        <v>4377</v>
      </c>
      <c r="H83" s="755" t="s">
        <v>3922</v>
      </c>
      <c r="I83" s="756">
        <v>15901209</v>
      </c>
      <c r="J83" s="756">
        <v>15930649</v>
      </c>
    </row>
    <row r="84" spans="1:10" s="37" customFormat="1">
      <c r="A84" s="751">
        <v>110</v>
      </c>
      <c r="B84" s="757">
        <v>100</v>
      </c>
      <c r="C84" s="757">
        <v>800</v>
      </c>
      <c r="D84" s="757"/>
      <c r="E84" s="757"/>
      <c r="F84" s="758"/>
      <c r="G84" s="759" t="s">
        <v>3587</v>
      </c>
      <c r="H84" s="755"/>
      <c r="I84" s="760"/>
      <c r="J84" s="760"/>
    </row>
    <row r="85" spans="1:10" s="37" customFormat="1">
      <c r="A85" s="751">
        <v>110</v>
      </c>
      <c r="B85" s="757">
        <v>100</v>
      </c>
      <c r="C85" s="757">
        <v>800</v>
      </c>
      <c r="D85" s="752">
        <v>100</v>
      </c>
      <c r="E85" s="752"/>
      <c r="F85" s="753"/>
      <c r="G85" s="754" t="s">
        <v>4378</v>
      </c>
      <c r="H85" s="755" t="s">
        <v>3926</v>
      </c>
      <c r="I85" s="756"/>
      <c r="J85" s="756"/>
    </row>
    <row r="86" spans="1:10" s="37" customFormat="1">
      <c r="A86" s="751">
        <v>110</v>
      </c>
      <c r="B86" s="757">
        <v>100</v>
      </c>
      <c r="C86" s="757">
        <v>800</v>
      </c>
      <c r="D86" s="752">
        <v>200</v>
      </c>
      <c r="E86" s="752"/>
      <c r="F86" s="753"/>
      <c r="G86" s="754" t="s">
        <v>4379</v>
      </c>
      <c r="H86" s="755" t="s">
        <v>3928</v>
      </c>
      <c r="I86" s="756">
        <v>1044688</v>
      </c>
      <c r="J86" s="756">
        <v>1382464</v>
      </c>
    </row>
    <row r="87" spans="1:10" s="37" customFormat="1">
      <c r="A87" s="751">
        <v>110</v>
      </c>
      <c r="B87" s="757">
        <v>100</v>
      </c>
      <c r="C87" s="757">
        <v>800</v>
      </c>
      <c r="D87" s="757">
        <v>300</v>
      </c>
      <c r="E87" s="757"/>
      <c r="F87" s="758"/>
      <c r="G87" s="759" t="s">
        <v>3590</v>
      </c>
      <c r="H87" s="755" t="s">
        <v>3930</v>
      </c>
      <c r="I87" s="760"/>
      <c r="J87" s="760"/>
    </row>
    <row r="88" spans="1:10" s="37" customFormat="1">
      <c r="A88" s="751">
        <v>110</v>
      </c>
      <c r="B88" s="757">
        <v>100</v>
      </c>
      <c r="C88" s="757">
        <v>800</v>
      </c>
      <c r="D88" s="757">
        <v>300</v>
      </c>
      <c r="E88" s="752">
        <v>10</v>
      </c>
      <c r="F88" s="753"/>
      <c r="G88" s="754" t="s">
        <v>4380</v>
      </c>
      <c r="H88" s="755"/>
      <c r="I88" s="756"/>
      <c r="J88" s="756"/>
    </row>
    <row r="89" spans="1:10" s="37" customFormat="1">
      <c r="A89" s="751">
        <v>110</v>
      </c>
      <c r="B89" s="757">
        <v>100</v>
      </c>
      <c r="C89" s="757">
        <v>800</v>
      </c>
      <c r="D89" s="757">
        <v>300</v>
      </c>
      <c r="E89" s="752">
        <v>20</v>
      </c>
      <c r="F89" s="753"/>
      <c r="G89" s="754" t="s">
        <v>4381</v>
      </c>
      <c r="H89" s="755"/>
      <c r="I89" s="756"/>
      <c r="J89" s="756"/>
    </row>
    <row r="90" spans="1:10" s="37" customFormat="1">
      <c r="A90" s="751">
        <v>110</v>
      </c>
      <c r="B90" s="757">
        <v>100</v>
      </c>
      <c r="C90" s="757">
        <v>800</v>
      </c>
      <c r="D90" s="752">
        <v>300</v>
      </c>
      <c r="E90" s="757">
        <v>90</v>
      </c>
      <c r="F90" s="758"/>
      <c r="G90" s="754" t="s">
        <v>4382</v>
      </c>
      <c r="H90" s="755"/>
      <c r="I90" s="756"/>
      <c r="J90" s="756"/>
    </row>
    <row r="91" spans="1:10" s="37" customFormat="1">
      <c r="A91" s="751">
        <v>110</v>
      </c>
      <c r="B91" s="757">
        <v>100</v>
      </c>
      <c r="C91" s="757">
        <v>800</v>
      </c>
      <c r="D91" s="752">
        <v>400</v>
      </c>
      <c r="E91" s="757"/>
      <c r="F91" s="758"/>
      <c r="G91" s="754" t="s">
        <v>4383</v>
      </c>
      <c r="H91" s="755" t="s">
        <v>3932</v>
      </c>
      <c r="I91" s="756">
        <v>664843</v>
      </c>
      <c r="J91" s="756"/>
    </row>
    <row r="92" spans="1:10" s="37" customFormat="1">
      <c r="A92" s="751">
        <v>110</v>
      </c>
      <c r="B92" s="757">
        <v>100</v>
      </c>
      <c r="C92" s="757">
        <v>900</v>
      </c>
      <c r="D92" s="757"/>
      <c r="E92" s="757"/>
      <c r="F92" s="758"/>
      <c r="G92" s="759" t="s">
        <v>3592</v>
      </c>
      <c r="H92" s="755" t="s">
        <v>3934</v>
      </c>
      <c r="I92" s="760"/>
      <c r="J92" s="760"/>
    </row>
    <row r="93" spans="1:10" s="37" customFormat="1">
      <c r="A93" s="751">
        <v>110</v>
      </c>
      <c r="B93" s="757">
        <v>100</v>
      </c>
      <c r="C93" s="757">
        <v>900</v>
      </c>
      <c r="D93" s="752">
        <v>100</v>
      </c>
      <c r="E93" s="752"/>
      <c r="F93" s="753"/>
      <c r="G93" s="754" t="s">
        <v>4384</v>
      </c>
      <c r="H93" s="755"/>
      <c r="I93" s="756">
        <v>2233</v>
      </c>
      <c r="J93" s="756">
        <v>1097</v>
      </c>
    </row>
    <row r="94" spans="1:10" s="37" customFormat="1">
      <c r="A94" s="751">
        <v>110</v>
      </c>
      <c r="B94" s="757">
        <v>100</v>
      </c>
      <c r="C94" s="757">
        <v>900</v>
      </c>
      <c r="D94" s="752">
        <v>800</v>
      </c>
      <c r="E94" s="752"/>
      <c r="F94" s="753"/>
      <c r="G94" s="754" t="s">
        <v>4374</v>
      </c>
      <c r="H94" s="755"/>
      <c r="I94" s="756"/>
      <c r="J94" s="756"/>
    </row>
    <row r="95" spans="1:10" s="37" customFormat="1">
      <c r="A95" s="751">
        <v>110</v>
      </c>
      <c r="B95" s="757">
        <v>100</v>
      </c>
      <c r="C95" s="757">
        <v>900</v>
      </c>
      <c r="D95" s="752">
        <v>900</v>
      </c>
      <c r="E95" s="752"/>
      <c r="F95" s="753"/>
      <c r="G95" s="754" t="s">
        <v>4385</v>
      </c>
      <c r="H95" s="755"/>
      <c r="I95" s="756"/>
      <c r="J95" s="756"/>
    </row>
    <row r="96" spans="1:10" s="37" customFormat="1">
      <c r="A96" s="751">
        <v>110</v>
      </c>
      <c r="B96" s="757">
        <v>200</v>
      </c>
      <c r="C96" s="757"/>
      <c r="D96" s="757"/>
      <c r="E96" s="757"/>
      <c r="F96" s="758"/>
      <c r="G96" s="759" t="s">
        <v>3593</v>
      </c>
      <c r="H96" s="755" t="s">
        <v>3936</v>
      </c>
      <c r="I96" s="760"/>
      <c r="J96" s="760"/>
    </row>
    <row r="97" spans="1:10" s="37" customFormat="1">
      <c r="A97" s="751">
        <v>110</v>
      </c>
      <c r="B97" s="757">
        <v>200</v>
      </c>
      <c r="C97" s="757">
        <v>100</v>
      </c>
      <c r="D97" s="752"/>
      <c r="E97" s="757"/>
      <c r="F97" s="758"/>
      <c r="G97" s="759" t="s">
        <v>3595</v>
      </c>
      <c r="H97" s="755" t="s">
        <v>3938</v>
      </c>
      <c r="I97" s="760"/>
      <c r="J97" s="760"/>
    </row>
    <row r="98" spans="1:10" s="37" customFormat="1">
      <c r="A98" s="751">
        <v>110</v>
      </c>
      <c r="B98" s="757">
        <v>200</v>
      </c>
      <c r="C98" s="757">
        <v>100</v>
      </c>
      <c r="D98" s="752">
        <v>200</v>
      </c>
      <c r="E98" s="752"/>
      <c r="F98" s="753"/>
      <c r="G98" s="754" t="s">
        <v>4386</v>
      </c>
      <c r="H98" s="755" t="s">
        <v>3941</v>
      </c>
      <c r="I98" s="756"/>
      <c r="J98" s="756"/>
    </row>
    <row r="99" spans="1:10" s="37" customFormat="1">
      <c r="A99" s="751">
        <v>110</v>
      </c>
      <c r="B99" s="757">
        <v>200</v>
      </c>
      <c r="C99" s="757">
        <v>100</v>
      </c>
      <c r="D99" s="752">
        <v>300</v>
      </c>
      <c r="E99" s="752"/>
      <c r="F99" s="753"/>
      <c r="G99" s="754" t="s">
        <v>4387</v>
      </c>
      <c r="H99" s="755" t="s">
        <v>3943</v>
      </c>
      <c r="I99" s="756"/>
      <c r="J99" s="756"/>
    </row>
    <row r="100" spans="1:10" s="37" customFormat="1" ht="25.5">
      <c r="A100" s="751">
        <v>110</v>
      </c>
      <c r="B100" s="757">
        <v>200</v>
      </c>
      <c r="C100" s="757">
        <v>100</v>
      </c>
      <c r="D100" s="752">
        <v>400</v>
      </c>
      <c r="E100" s="752"/>
      <c r="F100" s="753"/>
      <c r="G100" s="754" t="s">
        <v>4388</v>
      </c>
      <c r="H100" s="755" t="s">
        <v>3945</v>
      </c>
      <c r="I100" s="756">
        <v>925322</v>
      </c>
      <c r="J100" s="756">
        <v>664841</v>
      </c>
    </row>
    <row r="101" spans="1:10" s="37" customFormat="1">
      <c r="A101" s="751">
        <v>110</v>
      </c>
      <c r="B101" s="757">
        <v>200</v>
      </c>
      <c r="C101" s="757">
        <v>100</v>
      </c>
      <c r="D101" s="752">
        <v>500</v>
      </c>
      <c r="E101" s="752"/>
      <c r="F101" s="753"/>
      <c r="G101" s="754" t="s">
        <v>4389</v>
      </c>
      <c r="H101" s="755" t="s">
        <v>3947</v>
      </c>
      <c r="I101" s="756"/>
      <c r="J101" s="756"/>
    </row>
    <row r="102" spans="1:10" s="37" customFormat="1" ht="25.5">
      <c r="A102" s="751">
        <v>110</v>
      </c>
      <c r="B102" s="757">
        <v>200</v>
      </c>
      <c r="C102" s="757">
        <v>100</v>
      </c>
      <c r="D102" s="752">
        <v>600</v>
      </c>
      <c r="E102" s="752"/>
      <c r="F102" s="753"/>
      <c r="G102" s="754" t="s">
        <v>4390</v>
      </c>
      <c r="H102" s="755" t="s">
        <v>3949</v>
      </c>
      <c r="I102" s="756"/>
      <c r="J102" s="756"/>
    </row>
    <row r="103" spans="1:10" s="37" customFormat="1" ht="25.5">
      <c r="A103" s="751">
        <v>110</v>
      </c>
      <c r="B103" s="757">
        <v>200</v>
      </c>
      <c r="C103" s="757">
        <v>100</v>
      </c>
      <c r="D103" s="752">
        <v>700</v>
      </c>
      <c r="E103" s="752"/>
      <c r="F103" s="753"/>
      <c r="G103" s="754" t="s">
        <v>4391</v>
      </c>
      <c r="H103" s="755" t="s">
        <v>3951</v>
      </c>
      <c r="I103" s="756"/>
      <c r="J103" s="756"/>
    </row>
    <row r="104" spans="1:10" s="37" customFormat="1">
      <c r="A104" s="751">
        <v>110</v>
      </c>
      <c r="B104" s="757">
        <v>200</v>
      </c>
      <c r="C104" s="757">
        <v>100</v>
      </c>
      <c r="D104" s="752">
        <v>800</v>
      </c>
      <c r="E104" s="757"/>
      <c r="F104" s="758"/>
      <c r="G104" s="759" t="s">
        <v>4392</v>
      </c>
      <c r="H104" s="755" t="s">
        <v>3953</v>
      </c>
      <c r="I104" s="760"/>
      <c r="J104" s="760"/>
    </row>
    <row r="105" spans="1:10" s="37" customFormat="1">
      <c r="A105" s="751">
        <v>110</v>
      </c>
      <c r="B105" s="757">
        <v>200</v>
      </c>
      <c r="C105" s="757">
        <v>100</v>
      </c>
      <c r="D105" s="752">
        <v>800</v>
      </c>
      <c r="E105" s="752">
        <v>10</v>
      </c>
      <c r="F105" s="753"/>
      <c r="G105" s="754" t="s">
        <v>4392</v>
      </c>
      <c r="H105" s="755"/>
      <c r="I105" s="756">
        <v>780820</v>
      </c>
      <c r="J105" s="756">
        <v>240133</v>
      </c>
    </row>
    <row r="106" spans="1:10" s="37" customFormat="1">
      <c r="A106" s="751">
        <v>110</v>
      </c>
      <c r="B106" s="757">
        <v>200</v>
      </c>
      <c r="C106" s="757">
        <v>100</v>
      </c>
      <c r="D106" s="752">
        <v>800</v>
      </c>
      <c r="E106" s="752">
        <v>80</v>
      </c>
      <c r="F106" s="753"/>
      <c r="G106" s="754" t="s">
        <v>4374</v>
      </c>
      <c r="H106" s="755"/>
      <c r="I106" s="756"/>
      <c r="J106" s="756"/>
    </row>
    <row r="107" spans="1:10" s="37" customFormat="1">
      <c r="A107" s="751">
        <v>110</v>
      </c>
      <c r="B107" s="757">
        <v>200</v>
      </c>
      <c r="C107" s="757">
        <v>100</v>
      </c>
      <c r="D107" s="752">
        <v>800</v>
      </c>
      <c r="E107" s="752">
        <v>90</v>
      </c>
      <c r="F107" s="753"/>
      <c r="G107" s="786" t="s">
        <v>4385</v>
      </c>
      <c r="H107" s="755"/>
      <c r="I107" s="756"/>
      <c r="J107" s="756"/>
    </row>
    <row r="108" spans="1:10" s="37" customFormat="1" ht="25.5">
      <c r="A108" s="751">
        <v>110</v>
      </c>
      <c r="B108" s="757">
        <v>200</v>
      </c>
      <c r="C108" s="757">
        <v>100</v>
      </c>
      <c r="D108" s="752">
        <v>850</v>
      </c>
      <c r="E108" s="757"/>
      <c r="F108" s="758"/>
      <c r="G108" s="754" t="s">
        <v>4393</v>
      </c>
      <c r="H108" s="755" t="s">
        <v>3955</v>
      </c>
      <c r="I108" s="756"/>
      <c r="J108" s="756"/>
    </row>
    <row r="109" spans="1:10" s="37" customFormat="1">
      <c r="A109" s="751">
        <v>110</v>
      </c>
      <c r="B109" s="757">
        <v>200</v>
      </c>
      <c r="C109" s="757">
        <v>100</v>
      </c>
      <c r="D109" s="752">
        <v>900</v>
      </c>
      <c r="E109" s="757"/>
      <c r="F109" s="758"/>
      <c r="G109" s="759" t="s">
        <v>3600</v>
      </c>
      <c r="H109" s="755" t="s">
        <v>3957</v>
      </c>
      <c r="I109" s="760"/>
      <c r="J109" s="760"/>
    </row>
    <row r="110" spans="1:10" s="37" customFormat="1" ht="25.5">
      <c r="A110" s="751">
        <v>110</v>
      </c>
      <c r="B110" s="757">
        <v>200</v>
      </c>
      <c r="C110" s="757">
        <v>100</v>
      </c>
      <c r="D110" s="752">
        <v>900</v>
      </c>
      <c r="E110" s="752">
        <v>10</v>
      </c>
      <c r="F110" s="753"/>
      <c r="G110" s="754" t="s">
        <v>4394</v>
      </c>
      <c r="H110" s="755"/>
      <c r="I110" s="756">
        <v>143388</v>
      </c>
      <c r="J110" s="756">
        <v>181979</v>
      </c>
    </row>
    <row r="111" spans="1:10" s="37" customFormat="1" ht="25.5">
      <c r="A111" s="751">
        <v>110</v>
      </c>
      <c r="B111" s="757">
        <v>200</v>
      </c>
      <c r="C111" s="757">
        <v>100</v>
      </c>
      <c r="D111" s="752">
        <v>900</v>
      </c>
      <c r="E111" s="752">
        <v>20</v>
      </c>
      <c r="F111" s="753"/>
      <c r="G111" s="754" t="s">
        <v>4395</v>
      </c>
      <c r="H111" s="755"/>
      <c r="I111" s="756"/>
      <c r="J111" s="756">
        <v>62598</v>
      </c>
    </row>
    <row r="112" spans="1:10" s="37" customFormat="1">
      <c r="A112" s="751">
        <v>110</v>
      </c>
      <c r="B112" s="757">
        <v>200</v>
      </c>
      <c r="C112" s="757">
        <v>100</v>
      </c>
      <c r="D112" s="752">
        <v>900</v>
      </c>
      <c r="E112" s="752">
        <v>30</v>
      </c>
      <c r="F112" s="753"/>
      <c r="G112" s="754" t="s">
        <v>4396</v>
      </c>
      <c r="H112" s="755"/>
      <c r="I112" s="756"/>
      <c r="J112" s="756"/>
    </row>
    <row r="113" spans="1:10" s="37" customFormat="1">
      <c r="A113" s="751">
        <v>110</v>
      </c>
      <c r="B113" s="757">
        <v>200</v>
      </c>
      <c r="C113" s="757">
        <v>100</v>
      </c>
      <c r="D113" s="752">
        <v>900</v>
      </c>
      <c r="E113" s="787">
        <v>90</v>
      </c>
      <c r="F113" s="788"/>
      <c r="G113" s="754" t="s">
        <v>4397</v>
      </c>
      <c r="H113" s="755"/>
      <c r="I113" s="756"/>
      <c r="J113" s="756"/>
    </row>
    <row r="114" spans="1:10" s="37" customFormat="1">
      <c r="A114" s="751">
        <v>110</v>
      </c>
      <c r="B114" s="757">
        <v>200</v>
      </c>
      <c r="C114" s="757">
        <v>100</v>
      </c>
      <c r="D114" s="752">
        <v>950</v>
      </c>
      <c r="E114" s="757"/>
      <c r="F114" s="758"/>
      <c r="G114" s="754" t="s">
        <v>4398</v>
      </c>
      <c r="H114" s="755" t="s">
        <v>3959</v>
      </c>
      <c r="I114" s="756"/>
      <c r="J114" s="756"/>
    </row>
    <row r="115" spans="1:10" s="37" customFormat="1">
      <c r="A115" s="751">
        <v>110</v>
      </c>
      <c r="B115" s="757">
        <v>200</v>
      </c>
      <c r="C115" s="757">
        <v>200</v>
      </c>
      <c r="D115" s="757"/>
      <c r="E115" s="757"/>
      <c r="F115" s="758"/>
      <c r="G115" s="759" t="s">
        <v>4399</v>
      </c>
      <c r="H115" s="755" t="s">
        <v>3961</v>
      </c>
      <c r="I115" s="760"/>
      <c r="J115" s="760"/>
    </row>
    <row r="116" spans="1:10" s="37" customFormat="1" ht="25.5">
      <c r="A116" s="751">
        <v>110</v>
      </c>
      <c r="B116" s="757">
        <v>200</v>
      </c>
      <c r="C116" s="757">
        <v>200</v>
      </c>
      <c r="D116" s="752">
        <v>100</v>
      </c>
      <c r="E116" s="752"/>
      <c r="F116" s="753"/>
      <c r="G116" s="754" t="s">
        <v>4400</v>
      </c>
      <c r="H116" s="755" t="s">
        <v>3963</v>
      </c>
      <c r="I116" s="756">
        <v>7112876</v>
      </c>
      <c r="J116" s="756">
        <v>5660436</v>
      </c>
    </row>
    <row r="117" spans="1:10" s="37" customFormat="1">
      <c r="A117" s="751">
        <v>110</v>
      </c>
      <c r="B117" s="757">
        <v>200</v>
      </c>
      <c r="C117" s="757">
        <v>200</v>
      </c>
      <c r="D117" s="752">
        <v>200</v>
      </c>
      <c r="E117" s="752"/>
      <c r="F117" s="753"/>
      <c r="G117" s="754" t="s">
        <v>4401</v>
      </c>
      <c r="H117" s="755" t="s">
        <v>3965</v>
      </c>
      <c r="I117" s="756"/>
      <c r="J117" s="756"/>
    </row>
    <row r="118" spans="1:10" s="37" customFormat="1">
      <c r="A118" s="751">
        <v>110</v>
      </c>
      <c r="B118" s="757">
        <v>200</v>
      </c>
      <c r="C118" s="757">
        <v>200</v>
      </c>
      <c r="D118" s="752">
        <v>300</v>
      </c>
      <c r="E118" s="752"/>
      <c r="F118" s="753"/>
      <c r="G118" s="754" t="s">
        <v>3604</v>
      </c>
      <c r="H118" s="755" t="s">
        <v>3967</v>
      </c>
      <c r="I118" s="756"/>
      <c r="J118" s="756"/>
    </row>
    <row r="119" spans="1:10" s="37" customFormat="1" ht="38.25">
      <c r="A119" s="751">
        <v>110</v>
      </c>
      <c r="B119" s="757">
        <v>200</v>
      </c>
      <c r="C119" s="757">
        <v>200</v>
      </c>
      <c r="D119" s="752">
        <v>350</v>
      </c>
      <c r="E119" s="757"/>
      <c r="F119" s="758"/>
      <c r="G119" s="754" t="s">
        <v>4402</v>
      </c>
      <c r="H119" s="755" t="s">
        <v>3969</v>
      </c>
      <c r="I119" s="756"/>
      <c r="J119" s="756"/>
    </row>
    <row r="120" spans="1:10" s="37" customFormat="1">
      <c r="A120" s="751">
        <v>110</v>
      </c>
      <c r="B120" s="757">
        <v>200</v>
      </c>
      <c r="C120" s="757">
        <v>200</v>
      </c>
      <c r="D120" s="752">
        <v>400</v>
      </c>
      <c r="E120" s="752"/>
      <c r="F120" s="753"/>
      <c r="G120" s="754" t="s">
        <v>4403</v>
      </c>
      <c r="H120" s="755" t="s">
        <v>3971</v>
      </c>
      <c r="I120" s="756"/>
      <c r="J120" s="756"/>
    </row>
    <row r="121" spans="1:10" s="37" customFormat="1" ht="25.5">
      <c r="A121" s="751">
        <v>110</v>
      </c>
      <c r="B121" s="757">
        <v>200</v>
      </c>
      <c r="C121" s="757">
        <v>200</v>
      </c>
      <c r="D121" s="752">
        <v>500</v>
      </c>
      <c r="E121" s="752"/>
      <c r="F121" s="753"/>
      <c r="G121" s="754" t="s">
        <v>3605</v>
      </c>
      <c r="H121" s="755" t="s">
        <v>3973</v>
      </c>
      <c r="I121" s="756"/>
      <c r="J121" s="756"/>
    </row>
    <row r="122" spans="1:10" s="37" customFormat="1">
      <c r="A122" s="751">
        <v>110</v>
      </c>
      <c r="B122" s="757">
        <v>200</v>
      </c>
      <c r="C122" s="757">
        <v>300</v>
      </c>
      <c r="D122" s="752"/>
      <c r="E122" s="757"/>
      <c r="F122" s="758"/>
      <c r="G122" s="754" t="s">
        <v>4404</v>
      </c>
      <c r="H122" s="755" t="s">
        <v>3975</v>
      </c>
      <c r="I122" s="756"/>
      <c r="J122" s="756"/>
    </row>
    <row r="123" spans="1:10" s="37" customFormat="1" ht="25.5">
      <c r="A123" s="751">
        <v>110</v>
      </c>
      <c r="B123" s="757">
        <v>200</v>
      </c>
      <c r="C123" s="757">
        <v>400</v>
      </c>
      <c r="D123" s="752"/>
      <c r="E123" s="757"/>
      <c r="F123" s="758"/>
      <c r="G123" s="754" t="s">
        <v>4405</v>
      </c>
      <c r="H123" s="755" t="s">
        <v>3977</v>
      </c>
      <c r="I123" s="756"/>
      <c r="J123" s="756"/>
    </row>
    <row r="124" spans="1:10" s="37" customFormat="1">
      <c r="A124" s="751">
        <v>110</v>
      </c>
      <c r="B124" s="757">
        <v>300</v>
      </c>
      <c r="C124" s="757"/>
      <c r="D124" s="757"/>
      <c r="E124" s="757"/>
      <c r="F124" s="758"/>
      <c r="G124" s="759" t="s">
        <v>3606</v>
      </c>
      <c r="H124" s="755" t="s">
        <v>3979</v>
      </c>
      <c r="I124" s="760"/>
      <c r="J124" s="760"/>
    </row>
    <row r="125" spans="1:10" s="37" customFormat="1">
      <c r="A125" s="751">
        <v>110</v>
      </c>
      <c r="B125" s="757">
        <v>300</v>
      </c>
      <c r="C125" s="752">
        <v>100</v>
      </c>
      <c r="D125" s="752"/>
      <c r="E125" s="752"/>
      <c r="F125" s="753"/>
      <c r="G125" s="754" t="s">
        <v>4406</v>
      </c>
      <c r="H125" s="755"/>
      <c r="I125" s="756"/>
      <c r="J125" s="756"/>
    </row>
    <row r="126" spans="1:10" s="37" customFormat="1">
      <c r="A126" s="751">
        <v>110</v>
      </c>
      <c r="B126" s="757">
        <v>300</v>
      </c>
      <c r="C126" s="752">
        <v>800</v>
      </c>
      <c r="D126" s="752"/>
      <c r="E126" s="752"/>
      <c r="F126" s="753"/>
      <c r="G126" s="754" t="s">
        <v>4374</v>
      </c>
      <c r="H126" s="755"/>
      <c r="I126" s="756"/>
      <c r="J126" s="756"/>
    </row>
    <row r="127" spans="1:10" s="37" customFormat="1">
      <c r="A127" s="751">
        <v>110</v>
      </c>
      <c r="B127" s="757">
        <v>300</v>
      </c>
      <c r="C127" s="752">
        <v>900</v>
      </c>
      <c r="D127" s="752"/>
      <c r="E127" s="752"/>
      <c r="F127" s="753"/>
      <c r="G127" s="786" t="s">
        <v>4385</v>
      </c>
      <c r="H127" s="755"/>
      <c r="I127" s="756"/>
      <c r="J127" s="756"/>
    </row>
    <row r="128" spans="1:10" s="37" customFormat="1">
      <c r="A128" s="751">
        <v>110</v>
      </c>
      <c r="B128" s="757">
        <v>400</v>
      </c>
      <c r="C128" s="757"/>
      <c r="D128" s="757"/>
      <c r="E128" s="757"/>
      <c r="F128" s="758"/>
      <c r="G128" s="759" t="s">
        <v>4407</v>
      </c>
      <c r="H128" s="755" t="s">
        <v>3981</v>
      </c>
      <c r="I128" s="789"/>
      <c r="J128" s="789"/>
    </row>
    <row r="129" spans="1:10" s="37" customFormat="1">
      <c r="A129" s="751">
        <v>110</v>
      </c>
      <c r="B129" s="757">
        <v>400</v>
      </c>
      <c r="C129" s="757">
        <v>100</v>
      </c>
      <c r="D129" s="757"/>
      <c r="E129" s="757"/>
      <c r="F129" s="758"/>
      <c r="G129" s="759" t="s">
        <v>3608</v>
      </c>
      <c r="H129" s="755"/>
      <c r="I129" s="789"/>
      <c r="J129" s="789"/>
    </row>
    <row r="130" spans="1:10" s="37" customFormat="1" ht="25.5">
      <c r="A130" s="751">
        <v>110</v>
      </c>
      <c r="B130" s="757">
        <v>400</v>
      </c>
      <c r="C130" s="757">
        <v>100</v>
      </c>
      <c r="D130" s="752">
        <v>100</v>
      </c>
      <c r="E130" s="752"/>
      <c r="F130" s="753"/>
      <c r="G130" s="754" t="s">
        <v>4408</v>
      </c>
      <c r="H130" s="755" t="s">
        <v>3985</v>
      </c>
      <c r="I130" s="756"/>
      <c r="J130" s="756"/>
    </row>
    <row r="131" spans="1:10" s="37" customFormat="1" ht="25.5">
      <c r="A131" s="751">
        <v>110</v>
      </c>
      <c r="B131" s="757">
        <v>400</v>
      </c>
      <c r="C131" s="757">
        <v>100</v>
      </c>
      <c r="D131" s="757">
        <v>200</v>
      </c>
      <c r="E131" s="757"/>
      <c r="F131" s="758"/>
      <c r="G131" s="759" t="s">
        <v>4409</v>
      </c>
      <c r="H131" s="755" t="s">
        <v>3987</v>
      </c>
      <c r="I131" s="789"/>
      <c r="J131" s="789"/>
    </row>
    <row r="132" spans="1:10" s="37" customFormat="1" ht="25.5">
      <c r="A132" s="751">
        <v>110</v>
      </c>
      <c r="B132" s="757">
        <v>400</v>
      </c>
      <c r="C132" s="757">
        <v>100</v>
      </c>
      <c r="D132" s="757">
        <v>200</v>
      </c>
      <c r="E132" s="752">
        <v>10</v>
      </c>
      <c r="F132" s="753"/>
      <c r="G132" s="754" t="s">
        <v>4409</v>
      </c>
      <c r="H132" s="755"/>
      <c r="I132" s="756">
        <v>2374453</v>
      </c>
      <c r="J132" s="756">
        <v>2963837</v>
      </c>
    </row>
    <row r="133" spans="1:10" s="37" customFormat="1">
      <c r="A133" s="751">
        <v>110</v>
      </c>
      <c r="B133" s="757">
        <v>400</v>
      </c>
      <c r="C133" s="757">
        <v>100</v>
      </c>
      <c r="D133" s="757">
        <v>200</v>
      </c>
      <c r="E133" s="752">
        <v>80</v>
      </c>
      <c r="F133" s="753"/>
      <c r="G133" s="754" t="s">
        <v>4374</v>
      </c>
      <c r="H133" s="755"/>
      <c r="I133" s="756">
        <v>406808</v>
      </c>
      <c r="J133" s="756">
        <v>223823</v>
      </c>
    </row>
    <row r="134" spans="1:10" s="37" customFormat="1">
      <c r="A134" s="751">
        <v>110</v>
      </c>
      <c r="B134" s="757">
        <v>400</v>
      </c>
      <c r="C134" s="757">
        <v>100</v>
      </c>
      <c r="D134" s="757">
        <v>200</v>
      </c>
      <c r="E134" s="752">
        <v>90</v>
      </c>
      <c r="F134" s="753"/>
      <c r="G134" s="786" t="s">
        <v>4385</v>
      </c>
      <c r="H134" s="755"/>
      <c r="I134" s="756"/>
      <c r="J134" s="756"/>
    </row>
    <row r="135" spans="1:10" s="37" customFormat="1">
      <c r="A135" s="751">
        <v>110</v>
      </c>
      <c r="B135" s="757">
        <v>400</v>
      </c>
      <c r="C135" s="757">
        <v>100</v>
      </c>
      <c r="D135" s="757">
        <v>300</v>
      </c>
      <c r="E135" s="757"/>
      <c r="F135" s="758"/>
      <c r="G135" s="759" t="s">
        <v>4410</v>
      </c>
      <c r="H135" s="755" t="s">
        <v>3989</v>
      </c>
      <c r="I135" s="760"/>
      <c r="J135" s="760"/>
    </row>
    <row r="136" spans="1:10" s="37" customFormat="1">
      <c r="A136" s="751">
        <v>110</v>
      </c>
      <c r="B136" s="757">
        <v>400</v>
      </c>
      <c r="C136" s="757">
        <v>100</v>
      </c>
      <c r="D136" s="757">
        <v>300</v>
      </c>
      <c r="E136" s="752">
        <v>10</v>
      </c>
      <c r="F136" s="753"/>
      <c r="G136" s="754" t="s">
        <v>4411</v>
      </c>
      <c r="H136" s="755"/>
      <c r="I136" s="369">
        <v>5135648</v>
      </c>
      <c r="J136" s="369">
        <v>3874835</v>
      </c>
    </row>
    <row r="137" spans="1:10" s="37" customFormat="1">
      <c r="A137" s="751">
        <v>110</v>
      </c>
      <c r="B137" s="757">
        <v>400</v>
      </c>
      <c r="C137" s="757">
        <v>100</v>
      </c>
      <c r="D137" s="757">
        <v>300</v>
      </c>
      <c r="E137" s="752">
        <v>80</v>
      </c>
      <c r="F137" s="753"/>
      <c r="G137" s="754" t="s">
        <v>4374</v>
      </c>
      <c r="H137" s="755"/>
      <c r="I137" s="369">
        <v>1547</v>
      </c>
      <c r="J137" s="369">
        <v>33146</v>
      </c>
    </row>
    <row r="138" spans="1:10" s="37" customFormat="1">
      <c r="A138" s="751">
        <v>110</v>
      </c>
      <c r="B138" s="757">
        <v>400</v>
      </c>
      <c r="C138" s="757">
        <v>100</v>
      </c>
      <c r="D138" s="757">
        <v>300</v>
      </c>
      <c r="E138" s="752">
        <v>90</v>
      </c>
      <c r="F138" s="753"/>
      <c r="G138" s="754" t="s">
        <v>4375</v>
      </c>
      <c r="H138" s="755"/>
      <c r="I138" s="756"/>
      <c r="J138" s="756"/>
    </row>
    <row r="139" spans="1:10" s="37" customFormat="1">
      <c r="A139" s="751">
        <v>110</v>
      </c>
      <c r="B139" s="757">
        <v>400</v>
      </c>
      <c r="C139" s="757">
        <v>200</v>
      </c>
      <c r="D139" s="757"/>
      <c r="E139" s="757"/>
      <c r="F139" s="758"/>
      <c r="G139" s="759" t="s">
        <v>4412</v>
      </c>
      <c r="H139" s="755" t="s">
        <v>3991</v>
      </c>
      <c r="I139" s="756"/>
      <c r="J139" s="756"/>
    </row>
    <row r="140" spans="1:10" s="37" customFormat="1" ht="38.25">
      <c r="A140" s="751">
        <v>110</v>
      </c>
      <c r="B140" s="757">
        <v>400</v>
      </c>
      <c r="C140" s="757">
        <v>250</v>
      </c>
      <c r="D140" s="757"/>
      <c r="E140" s="757"/>
      <c r="F140" s="758"/>
      <c r="G140" s="759" t="s">
        <v>4413</v>
      </c>
      <c r="H140" s="755" t="s">
        <v>3993</v>
      </c>
      <c r="I140" s="756"/>
      <c r="J140" s="756"/>
    </row>
    <row r="141" spans="1:10" s="37" customFormat="1">
      <c r="A141" s="751">
        <v>110</v>
      </c>
      <c r="B141" s="757">
        <v>400</v>
      </c>
      <c r="C141" s="757">
        <v>300</v>
      </c>
      <c r="D141" s="757"/>
      <c r="E141" s="757"/>
      <c r="F141" s="758"/>
      <c r="G141" s="759" t="s">
        <v>4414</v>
      </c>
      <c r="H141" s="755" t="s">
        <v>3995</v>
      </c>
      <c r="I141" s="760"/>
      <c r="J141" s="760"/>
    </row>
    <row r="142" spans="1:10" s="37" customFormat="1">
      <c r="A142" s="751">
        <v>110</v>
      </c>
      <c r="B142" s="757">
        <v>400</v>
      </c>
      <c r="C142" s="757">
        <v>300</v>
      </c>
      <c r="D142" s="752">
        <v>100</v>
      </c>
      <c r="E142" s="752"/>
      <c r="F142" s="753"/>
      <c r="G142" s="754" t="s">
        <v>4414</v>
      </c>
      <c r="H142" s="755"/>
      <c r="I142" s="756">
        <v>628009</v>
      </c>
      <c r="J142" s="756">
        <v>792423</v>
      </c>
    </row>
    <row r="143" spans="1:10" s="37" customFormat="1">
      <c r="A143" s="751">
        <v>110</v>
      </c>
      <c r="B143" s="757">
        <v>400</v>
      </c>
      <c r="C143" s="757">
        <v>300</v>
      </c>
      <c r="D143" s="752">
        <v>800</v>
      </c>
      <c r="E143" s="752"/>
      <c r="F143" s="753"/>
      <c r="G143" s="754" t="s">
        <v>4374</v>
      </c>
      <c r="H143" s="755"/>
      <c r="I143" s="756">
        <v>19883</v>
      </c>
      <c r="J143" s="756">
        <v>25884</v>
      </c>
    </row>
    <row r="144" spans="1:10" s="37" customFormat="1">
      <c r="A144" s="751">
        <v>110</v>
      </c>
      <c r="B144" s="757">
        <v>400</v>
      </c>
      <c r="C144" s="757">
        <v>300</v>
      </c>
      <c r="D144" s="752">
        <v>900</v>
      </c>
      <c r="E144" s="752"/>
      <c r="F144" s="753"/>
      <c r="G144" s="754" t="s">
        <v>4375</v>
      </c>
      <c r="H144" s="755"/>
      <c r="I144" s="756"/>
      <c r="J144" s="756"/>
    </row>
    <row r="145" spans="1:10" s="37" customFormat="1" ht="25.5">
      <c r="A145" s="751">
        <v>110</v>
      </c>
      <c r="B145" s="757">
        <v>400</v>
      </c>
      <c r="C145" s="757">
        <v>350</v>
      </c>
      <c r="D145" s="757"/>
      <c r="E145" s="757"/>
      <c r="F145" s="758"/>
      <c r="G145" s="759" t="s">
        <v>4415</v>
      </c>
      <c r="H145" s="755" t="s">
        <v>3997</v>
      </c>
      <c r="I145" s="756"/>
      <c r="J145" s="756"/>
    </row>
    <row r="146" spans="1:10" s="37" customFormat="1">
      <c r="A146" s="751">
        <v>110</v>
      </c>
      <c r="B146" s="757">
        <v>500</v>
      </c>
      <c r="C146" s="757"/>
      <c r="D146" s="757"/>
      <c r="E146" s="757"/>
      <c r="F146" s="758"/>
      <c r="G146" s="759" t="s">
        <v>3610</v>
      </c>
      <c r="H146" s="755"/>
      <c r="I146" s="760"/>
      <c r="J146" s="760"/>
    </row>
    <row r="147" spans="1:10" s="37" customFormat="1">
      <c r="A147" s="751">
        <v>110</v>
      </c>
      <c r="B147" s="757">
        <v>500</v>
      </c>
      <c r="C147" s="752">
        <v>100</v>
      </c>
      <c r="D147" s="752"/>
      <c r="E147" s="752"/>
      <c r="F147" s="753"/>
      <c r="G147" s="754" t="s">
        <v>4416</v>
      </c>
      <c r="H147" s="755" t="s">
        <v>4001</v>
      </c>
      <c r="I147" s="756"/>
      <c r="J147" s="756"/>
    </row>
    <row r="148" spans="1:10" s="37" customFormat="1">
      <c r="A148" s="751">
        <v>110</v>
      </c>
      <c r="B148" s="757">
        <v>500</v>
      </c>
      <c r="C148" s="752">
        <v>200</v>
      </c>
      <c r="D148" s="752"/>
      <c r="E148" s="752"/>
      <c r="F148" s="753"/>
      <c r="G148" s="754" t="s">
        <v>4417</v>
      </c>
      <c r="H148" s="755" t="s">
        <v>4003</v>
      </c>
      <c r="I148" s="756"/>
      <c r="J148" s="756"/>
    </row>
    <row r="149" spans="1:10" s="37" customFormat="1">
      <c r="A149" s="751">
        <v>110</v>
      </c>
      <c r="B149" s="757">
        <v>500</v>
      </c>
      <c r="C149" s="790">
        <v>300</v>
      </c>
      <c r="D149" s="757"/>
      <c r="E149" s="757"/>
      <c r="F149" s="758"/>
      <c r="G149" s="759" t="s">
        <v>4418</v>
      </c>
      <c r="H149" s="755" t="s">
        <v>4005</v>
      </c>
      <c r="I149" s="760"/>
      <c r="J149" s="760"/>
    </row>
    <row r="150" spans="1:10" s="37" customFormat="1">
      <c r="A150" s="751">
        <v>110</v>
      </c>
      <c r="B150" s="757">
        <v>500</v>
      </c>
      <c r="C150" s="790">
        <v>300</v>
      </c>
      <c r="D150" s="752">
        <v>100</v>
      </c>
      <c r="E150" s="752"/>
      <c r="F150" s="753"/>
      <c r="G150" s="754" t="s">
        <v>4418</v>
      </c>
      <c r="H150" s="755"/>
      <c r="I150" s="756"/>
      <c r="J150" s="756"/>
    </row>
    <row r="151" spans="1:10" s="37" customFormat="1">
      <c r="A151" s="751">
        <v>110</v>
      </c>
      <c r="B151" s="757">
        <v>500</v>
      </c>
      <c r="C151" s="790">
        <v>300</v>
      </c>
      <c r="D151" s="752">
        <v>800</v>
      </c>
      <c r="E151" s="752"/>
      <c r="F151" s="753"/>
      <c r="G151" s="754" t="s">
        <v>4374</v>
      </c>
      <c r="H151" s="755"/>
      <c r="I151" s="756"/>
      <c r="J151" s="756"/>
    </row>
    <row r="152" spans="1:10" s="37" customFormat="1">
      <c r="A152" s="751">
        <v>110</v>
      </c>
      <c r="B152" s="757">
        <v>500</v>
      </c>
      <c r="C152" s="790">
        <v>300</v>
      </c>
      <c r="D152" s="752">
        <v>900</v>
      </c>
      <c r="E152" s="752"/>
      <c r="F152" s="753"/>
      <c r="G152" s="786" t="s">
        <v>4385</v>
      </c>
      <c r="H152" s="755"/>
      <c r="I152" s="756"/>
      <c r="J152" s="756"/>
    </row>
    <row r="153" spans="1:10" s="37" customFormat="1">
      <c r="A153" s="751">
        <v>110</v>
      </c>
      <c r="B153" s="757">
        <v>600</v>
      </c>
      <c r="C153" s="757"/>
      <c r="D153" s="757"/>
      <c r="E153" s="757"/>
      <c r="F153" s="758"/>
      <c r="G153" s="759" t="s">
        <v>3611</v>
      </c>
      <c r="H153" s="755" t="s">
        <v>4007</v>
      </c>
      <c r="I153" s="760"/>
      <c r="J153" s="760"/>
    </row>
    <row r="154" spans="1:10" s="37" customFormat="1">
      <c r="A154" s="751">
        <v>110</v>
      </c>
      <c r="B154" s="757">
        <v>600</v>
      </c>
      <c r="C154" s="752">
        <v>100</v>
      </c>
      <c r="D154" s="752"/>
      <c r="E154" s="752"/>
      <c r="F154" s="753"/>
      <c r="G154" s="754" t="s">
        <v>114</v>
      </c>
      <c r="H154" s="755"/>
      <c r="I154" s="756"/>
      <c r="J154" s="756"/>
    </row>
    <row r="155" spans="1:10" s="37" customFormat="1">
      <c r="A155" s="751">
        <v>110</v>
      </c>
      <c r="B155" s="757">
        <v>600</v>
      </c>
      <c r="C155" s="752">
        <v>200</v>
      </c>
      <c r="D155" s="752"/>
      <c r="E155" s="752"/>
      <c r="F155" s="753"/>
      <c r="G155" s="754" t="s">
        <v>109</v>
      </c>
      <c r="H155" s="755"/>
      <c r="I155" s="756"/>
      <c r="J155" s="756"/>
    </row>
    <row r="156" spans="1:10" s="37" customFormat="1">
      <c r="A156" s="751">
        <v>110</v>
      </c>
      <c r="B156" s="757">
        <v>600</v>
      </c>
      <c r="C156" s="752">
        <v>300</v>
      </c>
      <c r="D156" s="752"/>
      <c r="E156" s="752"/>
      <c r="F156" s="753"/>
      <c r="G156" s="754" t="s">
        <v>4419</v>
      </c>
      <c r="H156" s="755"/>
      <c r="I156" s="756"/>
      <c r="J156" s="756"/>
    </row>
    <row r="157" spans="1:10" s="37" customFormat="1">
      <c r="A157" s="751">
        <v>110</v>
      </c>
      <c r="B157" s="757">
        <v>600</v>
      </c>
      <c r="C157" s="752">
        <v>400</v>
      </c>
      <c r="D157" s="752"/>
      <c r="E157" s="752"/>
      <c r="F157" s="753"/>
      <c r="G157" s="754" t="s">
        <v>4420</v>
      </c>
      <c r="H157" s="755"/>
      <c r="I157" s="756"/>
      <c r="J157" s="756"/>
    </row>
    <row r="158" spans="1:10" s="37" customFormat="1">
      <c r="A158" s="751">
        <v>110</v>
      </c>
      <c r="B158" s="757">
        <v>600</v>
      </c>
      <c r="C158" s="752">
        <v>500</v>
      </c>
      <c r="D158" s="752"/>
      <c r="E158" s="752"/>
      <c r="F158" s="753"/>
      <c r="G158" s="754" t="s">
        <v>4421</v>
      </c>
      <c r="H158" s="755"/>
      <c r="I158" s="756"/>
      <c r="J158" s="756"/>
    </row>
    <row r="159" spans="1:10" s="37" customFormat="1">
      <c r="A159" s="751">
        <v>110</v>
      </c>
      <c r="B159" s="757">
        <v>600</v>
      </c>
      <c r="C159" s="752">
        <v>600</v>
      </c>
      <c r="D159" s="752"/>
      <c r="E159" s="752"/>
      <c r="F159" s="753"/>
      <c r="G159" s="754" t="s">
        <v>4422</v>
      </c>
      <c r="H159" s="755"/>
      <c r="I159" s="756"/>
      <c r="J159" s="756"/>
    </row>
    <row r="160" spans="1:10" s="37" customFormat="1">
      <c r="A160" s="751">
        <v>110</v>
      </c>
      <c r="B160" s="757">
        <v>700</v>
      </c>
      <c r="C160" s="757"/>
      <c r="D160" s="757"/>
      <c r="E160" s="757"/>
      <c r="F160" s="758"/>
      <c r="G160" s="759" t="s">
        <v>3612</v>
      </c>
      <c r="H160" s="755"/>
      <c r="I160" s="760"/>
      <c r="J160" s="760"/>
    </row>
    <row r="161" spans="1:10" s="37" customFormat="1">
      <c r="A161" s="751">
        <v>110</v>
      </c>
      <c r="B161" s="757">
        <v>700</v>
      </c>
      <c r="C161" s="757">
        <v>100</v>
      </c>
      <c r="D161" s="757"/>
      <c r="E161" s="757"/>
      <c r="F161" s="758"/>
      <c r="G161" s="759" t="s">
        <v>4423</v>
      </c>
      <c r="H161" s="755" t="s">
        <v>4011</v>
      </c>
      <c r="I161" s="760"/>
      <c r="J161" s="760"/>
    </row>
    <row r="162" spans="1:10" s="37" customFormat="1">
      <c r="A162" s="751">
        <v>110</v>
      </c>
      <c r="B162" s="757">
        <v>700</v>
      </c>
      <c r="C162" s="757">
        <v>100</v>
      </c>
      <c r="D162" s="752">
        <v>100</v>
      </c>
      <c r="E162" s="752"/>
      <c r="F162" s="753"/>
      <c r="G162" s="754" t="s">
        <v>4424</v>
      </c>
      <c r="H162" s="755"/>
      <c r="I162" s="756">
        <v>829185</v>
      </c>
      <c r="J162" s="756">
        <v>1073752</v>
      </c>
    </row>
    <row r="163" spans="1:10" s="37" customFormat="1">
      <c r="A163" s="751">
        <v>110</v>
      </c>
      <c r="B163" s="757">
        <v>700</v>
      </c>
      <c r="C163" s="757">
        <v>100</v>
      </c>
      <c r="D163" s="752">
        <v>200</v>
      </c>
      <c r="E163" s="752"/>
      <c r="F163" s="753"/>
      <c r="G163" s="754" t="s">
        <v>4425</v>
      </c>
      <c r="H163" s="755"/>
      <c r="I163" s="756">
        <v>127813</v>
      </c>
      <c r="J163" s="756">
        <v>92784</v>
      </c>
    </row>
    <row r="164" spans="1:10" s="37" customFormat="1">
      <c r="A164" s="751">
        <v>110</v>
      </c>
      <c r="B164" s="757">
        <v>700</v>
      </c>
      <c r="C164" s="757">
        <v>100</v>
      </c>
      <c r="D164" s="752">
        <v>300</v>
      </c>
      <c r="E164" s="752"/>
      <c r="F164" s="753"/>
      <c r="G164" s="754" t="s">
        <v>4426</v>
      </c>
      <c r="H164" s="755"/>
      <c r="I164" s="756">
        <v>95462</v>
      </c>
      <c r="J164" s="756"/>
    </row>
    <row r="165" spans="1:10" s="37" customFormat="1">
      <c r="A165" s="751">
        <v>110</v>
      </c>
      <c r="B165" s="757">
        <v>700</v>
      </c>
      <c r="C165" s="757">
        <v>100</v>
      </c>
      <c r="D165" s="752">
        <v>800</v>
      </c>
      <c r="E165" s="752"/>
      <c r="F165" s="753"/>
      <c r="G165" s="754" t="s">
        <v>4374</v>
      </c>
      <c r="H165" s="755"/>
      <c r="I165" s="756">
        <v>37007</v>
      </c>
      <c r="J165" s="756">
        <v>119937</v>
      </c>
    </row>
    <row r="166" spans="1:10" s="37" customFormat="1">
      <c r="A166" s="751">
        <v>110</v>
      </c>
      <c r="B166" s="757">
        <v>700</v>
      </c>
      <c r="C166" s="757">
        <v>100</v>
      </c>
      <c r="D166" s="752">
        <v>900</v>
      </c>
      <c r="E166" s="752"/>
      <c r="F166" s="753"/>
      <c r="G166" s="786" t="s">
        <v>4385</v>
      </c>
      <c r="H166" s="755"/>
      <c r="I166" s="756"/>
      <c r="J166" s="756"/>
    </row>
    <row r="167" spans="1:10" s="37" customFormat="1">
      <c r="A167" s="751">
        <v>110</v>
      </c>
      <c r="B167" s="757">
        <v>700</v>
      </c>
      <c r="C167" s="752">
        <v>200</v>
      </c>
      <c r="D167" s="752"/>
      <c r="E167" s="752"/>
      <c r="F167" s="753"/>
      <c r="G167" s="754" t="s">
        <v>4427</v>
      </c>
      <c r="H167" s="755" t="s">
        <v>4013</v>
      </c>
      <c r="I167" s="756"/>
      <c r="J167" s="756"/>
    </row>
    <row r="168" spans="1:10" s="37" customFormat="1">
      <c r="A168" s="751">
        <v>110</v>
      </c>
      <c r="B168" s="757">
        <v>700</v>
      </c>
      <c r="C168" s="757">
        <v>300</v>
      </c>
      <c r="D168" s="757"/>
      <c r="E168" s="757"/>
      <c r="F168" s="758"/>
      <c r="G168" s="759" t="s">
        <v>4428</v>
      </c>
      <c r="H168" s="755" t="s">
        <v>4015</v>
      </c>
      <c r="I168" s="791"/>
      <c r="J168" s="791"/>
    </row>
    <row r="169" spans="1:10" s="37" customFormat="1">
      <c r="A169" s="751">
        <v>110</v>
      </c>
      <c r="B169" s="757">
        <v>700</v>
      </c>
      <c r="C169" s="757">
        <v>300</v>
      </c>
      <c r="D169" s="752">
        <v>100</v>
      </c>
      <c r="E169" s="752"/>
      <c r="F169" s="753"/>
      <c r="G169" s="754" t="s">
        <v>4429</v>
      </c>
      <c r="H169" s="755"/>
      <c r="I169" s="756"/>
      <c r="J169" s="756"/>
    </row>
    <row r="170" spans="1:10" s="37" customFormat="1">
      <c r="A170" s="751">
        <v>110</v>
      </c>
      <c r="B170" s="757">
        <v>700</v>
      </c>
      <c r="C170" s="757">
        <v>300</v>
      </c>
      <c r="D170" s="752">
        <v>200</v>
      </c>
      <c r="E170" s="752"/>
      <c r="F170" s="753"/>
      <c r="G170" s="754" t="s">
        <v>4430</v>
      </c>
      <c r="H170" s="755"/>
      <c r="I170" s="756">
        <v>288155</v>
      </c>
      <c r="J170" s="756">
        <v>529418</v>
      </c>
    </row>
    <row r="171" spans="1:10" s="37" customFormat="1">
      <c r="A171" s="751">
        <v>110</v>
      </c>
      <c r="B171" s="757">
        <v>700</v>
      </c>
      <c r="C171" s="757">
        <v>300</v>
      </c>
      <c r="D171" s="752">
        <v>800</v>
      </c>
      <c r="E171" s="752"/>
      <c r="F171" s="753"/>
      <c r="G171" s="754" t="s">
        <v>4374</v>
      </c>
      <c r="H171" s="755"/>
      <c r="I171" s="756">
        <v>55783</v>
      </c>
      <c r="J171" s="756">
        <v>56347</v>
      </c>
    </row>
    <row r="172" spans="1:10" s="37" customFormat="1">
      <c r="A172" s="751">
        <v>110</v>
      </c>
      <c r="B172" s="757">
        <v>700</v>
      </c>
      <c r="C172" s="757">
        <v>300</v>
      </c>
      <c r="D172" s="752">
        <v>900</v>
      </c>
      <c r="E172" s="752"/>
      <c r="F172" s="753"/>
      <c r="G172" s="786" t="s">
        <v>4385</v>
      </c>
      <c r="H172" s="755"/>
      <c r="I172" s="756"/>
      <c r="J172" s="756"/>
    </row>
    <row r="173" spans="1:10" s="37" customFormat="1">
      <c r="A173" s="751">
        <v>110</v>
      </c>
      <c r="B173" s="757">
        <v>700</v>
      </c>
      <c r="C173" s="752">
        <v>400</v>
      </c>
      <c r="D173" s="752"/>
      <c r="E173" s="752"/>
      <c r="F173" s="753"/>
      <c r="G173" s="754" t="s">
        <v>4431</v>
      </c>
      <c r="H173" s="755" t="s">
        <v>4017</v>
      </c>
      <c r="I173" s="756"/>
      <c r="J173" s="756">
        <v>0</v>
      </c>
    </row>
    <row r="174" spans="1:10" s="37" customFormat="1">
      <c r="A174" s="751">
        <v>110</v>
      </c>
      <c r="B174" s="757">
        <v>700</v>
      </c>
      <c r="C174" s="757">
        <v>500</v>
      </c>
      <c r="D174" s="757"/>
      <c r="E174" s="757"/>
      <c r="F174" s="758"/>
      <c r="G174" s="759" t="s">
        <v>4432</v>
      </c>
      <c r="H174" s="755" t="s">
        <v>4019</v>
      </c>
      <c r="I174" s="791"/>
      <c r="J174" s="791"/>
    </row>
    <row r="175" spans="1:10" s="37" customFormat="1">
      <c r="A175" s="751"/>
      <c r="B175" s="757"/>
      <c r="C175" s="757"/>
      <c r="D175" s="757"/>
      <c r="E175" s="757"/>
      <c r="F175" s="758"/>
      <c r="G175" s="754" t="s">
        <v>4432</v>
      </c>
      <c r="H175" s="792" t="s">
        <v>4021</v>
      </c>
      <c r="I175" s="793"/>
      <c r="J175" s="793"/>
    </row>
    <row r="176" spans="1:10" s="37" customFormat="1">
      <c r="A176" s="751">
        <v>110</v>
      </c>
      <c r="B176" s="757">
        <v>700</v>
      </c>
      <c r="C176" s="757">
        <v>500</v>
      </c>
      <c r="D176" s="757">
        <v>100</v>
      </c>
      <c r="E176" s="757"/>
      <c r="F176" s="758"/>
      <c r="G176" s="759" t="s">
        <v>4433</v>
      </c>
      <c r="H176" s="792" t="s">
        <v>4021</v>
      </c>
      <c r="I176" s="794"/>
      <c r="J176" s="794"/>
    </row>
    <row r="177" spans="1:10" s="37" customFormat="1">
      <c r="A177" s="751">
        <v>110</v>
      </c>
      <c r="B177" s="757">
        <v>700</v>
      </c>
      <c r="C177" s="757">
        <v>500</v>
      </c>
      <c r="D177" s="757">
        <v>100</v>
      </c>
      <c r="E177" s="752">
        <v>10</v>
      </c>
      <c r="F177" s="753"/>
      <c r="G177" s="754" t="s">
        <v>4434</v>
      </c>
      <c r="H177" s="792" t="s">
        <v>4021</v>
      </c>
      <c r="I177" s="756">
        <v>9190</v>
      </c>
      <c r="J177" s="756">
        <v>4747</v>
      </c>
    </row>
    <row r="178" spans="1:10" s="37" customFormat="1">
      <c r="A178" s="751">
        <v>110</v>
      </c>
      <c r="B178" s="757">
        <v>700</v>
      </c>
      <c r="C178" s="757">
        <v>500</v>
      </c>
      <c r="D178" s="757">
        <v>100</v>
      </c>
      <c r="E178" s="752">
        <v>90</v>
      </c>
      <c r="F178" s="753"/>
      <c r="G178" s="754" t="s">
        <v>4435</v>
      </c>
      <c r="H178" s="792" t="s">
        <v>4021</v>
      </c>
      <c r="I178" s="756">
        <v>6679</v>
      </c>
      <c r="J178" s="756">
        <v>10673</v>
      </c>
    </row>
    <row r="179" spans="1:10" s="37" customFormat="1">
      <c r="A179" s="751">
        <v>110</v>
      </c>
      <c r="B179" s="757">
        <v>700</v>
      </c>
      <c r="C179" s="757">
        <v>500</v>
      </c>
      <c r="D179" s="752">
        <v>200</v>
      </c>
      <c r="E179" s="752"/>
      <c r="F179" s="753"/>
      <c r="G179" s="754" t="s">
        <v>4436</v>
      </c>
      <c r="H179" s="792" t="s">
        <v>4021</v>
      </c>
      <c r="I179" s="756"/>
      <c r="J179" s="756"/>
    </row>
    <row r="180" spans="1:10" s="37" customFormat="1">
      <c r="A180" s="751">
        <v>110</v>
      </c>
      <c r="B180" s="757">
        <v>700</v>
      </c>
      <c r="C180" s="757">
        <v>500</v>
      </c>
      <c r="D180" s="752">
        <v>300</v>
      </c>
      <c r="E180" s="752"/>
      <c r="F180" s="753"/>
      <c r="G180" s="754" t="s">
        <v>4437</v>
      </c>
      <c r="H180" s="792" t="s">
        <v>4021</v>
      </c>
      <c r="I180" s="756"/>
      <c r="J180" s="756"/>
    </row>
    <row r="181" spans="1:10" s="37" customFormat="1">
      <c r="A181" s="751">
        <v>110</v>
      </c>
      <c r="B181" s="757">
        <v>700</v>
      </c>
      <c r="C181" s="757">
        <v>500</v>
      </c>
      <c r="D181" s="752">
        <v>400</v>
      </c>
      <c r="E181" s="752"/>
      <c r="F181" s="753"/>
      <c r="G181" s="754" t="s">
        <v>3630</v>
      </c>
      <c r="H181" s="792" t="s">
        <v>4021</v>
      </c>
      <c r="I181" s="756"/>
      <c r="J181" s="756"/>
    </row>
    <row r="182" spans="1:10" s="37" customFormat="1">
      <c r="A182" s="751">
        <v>110</v>
      </c>
      <c r="B182" s="757">
        <v>700</v>
      </c>
      <c r="C182" s="757">
        <v>500</v>
      </c>
      <c r="D182" s="752">
        <v>900</v>
      </c>
      <c r="E182" s="752"/>
      <c r="F182" s="795"/>
      <c r="G182" s="754" t="s">
        <v>4432</v>
      </c>
      <c r="H182" s="792" t="s">
        <v>4021</v>
      </c>
      <c r="I182" s="756">
        <v>178178</v>
      </c>
      <c r="J182" s="756">
        <v>1941602</v>
      </c>
    </row>
    <row r="183" spans="1:10" s="37" customFormat="1">
      <c r="A183" s="751">
        <v>110</v>
      </c>
      <c r="B183" s="757">
        <v>700</v>
      </c>
      <c r="C183" s="757">
        <v>500</v>
      </c>
      <c r="D183" s="752">
        <v>910</v>
      </c>
      <c r="E183" s="752"/>
      <c r="F183" s="795"/>
      <c r="G183" s="796" t="s">
        <v>4438</v>
      </c>
      <c r="H183" s="755" t="s">
        <v>4023</v>
      </c>
      <c r="I183" s="756"/>
      <c r="J183" s="756"/>
    </row>
    <row r="184" spans="1:10" s="37" customFormat="1" ht="25.5">
      <c r="A184" s="751">
        <v>110</v>
      </c>
      <c r="B184" s="757">
        <v>700</v>
      </c>
      <c r="C184" s="757">
        <v>600</v>
      </c>
      <c r="D184" s="790"/>
      <c r="E184" s="790"/>
      <c r="F184" s="797"/>
      <c r="G184" s="798" t="s">
        <v>4439</v>
      </c>
      <c r="H184" s="755" t="s">
        <v>4025</v>
      </c>
      <c r="I184" s="791"/>
      <c r="J184" s="791"/>
    </row>
    <row r="185" spans="1:10" s="37" customFormat="1" ht="25.5">
      <c r="A185" s="751">
        <v>110</v>
      </c>
      <c r="B185" s="757">
        <v>700</v>
      </c>
      <c r="C185" s="757">
        <v>600</v>
      </c>
      <c r="D185" s="799">
        <v>100</v>
      </c>
      <c r="E185" s="799"/>
      <c r="F185" s="800"/>
      <c r="G185" s="801" t="s">
        <v>4439</v>
      </c>
      <c r="H185" s="755" t="s">
        <v>4027</v>
      </c>
      <c r="I185" s="756"/>
      <c r="J185" s="756"/>
    </row>
    <row r="186" spans="1:10" s="37" customFormat="1">
      <c r="A186" s="751">
        <v>110</v>
      </c>
      <c r="B186" s="757">
        <v>700</v>
      </c>
      <c r="C186" s="757">
        <v>600</v>
      </c>
      <c r="D186" s="799">
        <v>200</v>
      </c>
      <c r="E186" s="799"/>
      <c r="F186" s="800"/>
      <c r="G186" s="801" t="s">
        <v>4440</v>
      </c>
      <c r="H186" s="755" t="s">
        <v>4029</v>
      </c>
      <c r="I186" s="756"/>
      <c r="J186" s="756"/>
    </row>
    <row r="187" spans="1:10" s="37" customFormat="1">
      <c r="A187" s="761">
        <v>120</v>
      </c>
      <c r="B187" s="762">
        <v>0</v>
      </c>
      <c r="C187" s="762">
        <v>0</v>
      </c>
      <c r="D187" s="762">
        <v>0</v>
      </c>
      <c r="E187" s="762">
        <v>0</v>
      </c>
      <c r="F187" s="763">
        <v>0</v>
      </c>
      <c r="G187" s="764" t="s">
        <v>4441</v>
      </c>
      <c r="H187" s="802"/>
      <c r="I187" s="793"/>
      <c r="J187" s="793"/>
    </row>
    <row r="188" spans="1:10" s="37" customFormat="1">
      <c r="A188" s="751">
        <v>120</v>
      </c>
      <c r="B188" s="757">
        <v>100</v>
      </c>
      <c r="C188" s="757"/>
      <c r="D188" s="757"/>
      <c r="E188" s="757"/>
      <c r="F188" s="758"/>
      <c r="G188" s="759" t="s">
        <v>3614</v>
      </c>
      <c r="H188" s="755" t="s">
        <v>4033</v>
      </c>
      <c r="I188" s="791"/>
      <c r="J188" s="791"/>
    </row>
    <row r="189" spans="1:10" s="37" customFormat="1">
      <c r="A189" s="751">
        <v>120</v>
      </c>
      <c r="B189" s="757">
        <v>100</v>
      </c>
      <c r="C189" s="752">
        <v>100</v>
      </c>
      <c r="D189" s="752"/>
      <c r="E189" s="752"/>
      <c r="F189" s="753"/>
      <c r="G189" s="754" t="s">
        <v>4442</v>
      </c>
      <c r="H189" s="773"/>
      <c r="I189" s="756"/>
      <c r="J189" s="756"/>
    </row>
    <row r="190" spans="1:10" s="749" customFormat="1">
      <c r="A190" s="751">
        <v>120</v>
      </c>
      <c r="B190" s="757">
        <v>100</v>
      </c>
      <c r="C190" s="752">
        <v>200</v>
      </c>
      <c r="D190" s="752"/>
      <c r="E190" s="752"/>
      <c r="F190" s="753"/>
      <c r="G190" s="754" t="s">
        <v>4443</v>
      </c>
      <c r="H190" s="773"/>
      <c r="I190" s="756"/>
      <c r="J190" s="756"/>
    </row>
    <row r="191" spans="1:10" s="37" customFormat="1">
      <c r="A191" s="751">
        <v>120</v>
      </c>
      <c r="B191" s="757">
        <v>100</v>
      </c>
      <c r="C191" s="752">
        <v>300</v>
      </c>
      <c r="D191" s="752"/>
      <c r="E191" s="752"/>
      <c r="F191" s="753"/>
      <c r="G191" s="754" t="s">
        <v>4444</v>
      </c>
      <c r="H191" s="773"/>
      <c r="I191" s="756"/>
      <c r="J191" s="756"/>
    </row>
    <row r="192" spans="1:10" s="37" customFormat="1">
      <c r="A192" s="751">
        <v>120</v>
      </c>
      <c r="B192" s="752">
        <v>200</v>
      </c>
      <c r="C192" s="752"/>
      <c r="D192" s="752"/>
      <c r="E192" s="752"/>
      <c r="F192" s="753"/>
      <c r="G192" s="754" t="s">
        <v>3615</v>
      </c>
      <c r="H192" s="755" t="s">
        <v>4035</v>
      </c>
      <c r="I192" s="756"/>
      <c r="J192" s="756"/>
    </row>
    <row r="193" spans="1:10" s="37" customFormat="1">
      <c r="A193" s="761">
        <v>130</v>
      </c>
      <c r="B193" s="762">
        <v>0</v>
      </c>
      <c r="C193" s="762">
        <v>0</v>
      </c>
      <c r="D193" s="762">
        <v>0</v>
      </c>
      <c r="E193" s="762">
        <v>0</v>
      </c>
      <c r="F193" s="763">
        <v>0</v>
      </c>
      <c r="G193" s="764" t="s">
        <v>4445</v>
      </c>
      <c r="H193" s="802"/>
      <c r="I193" s="793"/>
      <c r="J193" s="793"/>
    </row>
    <row r="194" spans="1:10" s="37" customFormat="1">
      <c r="A194" s="751">
        <v>130</v>
      </c>
      <c r="B194" s="757">
        <v>100</v>
      </c>
      <c r="C194" s="757"/>
      <c r="D194" s="757"/>
      <c r="E194" s="757"/>
      <c r="F194" s="758"/>
      <c r="G194" s="759" t="s">
        <v>3617</v>
      </c>
      <c r="H194" s="755" t="s">
        <v>4039</v>
      </c>
      <c r="I194" s="791"/>
      <c r="J194" s="791"/>
    </row>
    <row r="195" spans="1:10" s="37" customFormat="1">
      <c r="A195" s="751">
        <v>130</v>
      </c>
      <c r="B195" s="757">
        <v>100</v>
      </c>
      <c r="C195" s="757">
        <v>100</v>
      </c>
      <c r="D195" s="757"/>
      <c r="E195" s="757"/>
      <c r="F195" s="758"/>
      <c r="G195" s="759" t="s">
        <v>4446</v>
      </c>
      <c r="H195" s="803"/>
      <c r="I195" s="791"/>
      <c r="J195" s="791"/>
    </row>
    <row r="196" spans="1:10" s="749" customFormat="1">
      <c r="A196" s="751">
        <v>130</v>
      </c>
      <c r="B196" s="757">
        <v>100</v>
      </c>
      <c r="C196" s="757">
        <v>100</v>
      </c>
      <c r="D196" s="752">
        <v>100</v>
      </c>
      <c r="E196" s="752"/>
      <c r="F196" s="753"/>
      <c r="G196" s="754" t="s">
        <v>4447</v>
      </c>
      <c r="H196" s="755"/>
      <c r="I196" s="756">
        <v>20000</v>
      </c>
      <c r="J196" s="756">
        <v>20000</v>
      </c>
    </row>
    <row r="197" spans="1:10" s="37" customFormat="1">
      <c r="A197" s="751">
        <v>130</v>
      </c>
      <c r="B197" s="757">
        <v>100</v>
      </c>
      <c r="C197" s="757">
        <v>100</v>
      </c>
      <c r="D197" s="752">
        <v>200</v>
      </c>
      <c r="E197" s="752"/>
      <c r="F197" s="753"/>
      <c r="G197" s="754" t="s">
        <v>4448</v>
      </c>
      <c r="H197" s="755"/>
      <c r="I197" s="756"/>
      <c r="J197" s="756"/>
    </row>
    <row r="198" spans="1:10" s="37" customFormat="1">
      <c r="A198" s="751">
        <v>130</v>
      </c>
      <c r="B198" s="757">
        <v>100</v>
      </c>
      <c r="C198" s="757">
        <v>100</v>
      </c>
      <c r="D198" s="752">
        <v>300</v>
      </c>
      <c r="E198" s="752"/>
      <c r="F198" s="753"/>
      <c r="G198" s="754" t="s">
        <v>4449</v>
      </c>
      <c r="H198" s="755"/>
      <c r="I198" s="756"/>
      <c r="J198" s="756"/>
    </row>
    <row r="199" spans="1:10" s="37" customFormat="1">
      <c r="A199" s="751">
        <v>130</v>
      </c>
      <c r="B199" s="757">
        <v>100</v>
      </c>
      <c r="C199" s="757">
        <v>100</v>
      </c>
      <c r="D199" s="752">
        <v>400</v>
      </c>
      <c r="E199" s="752"/>
      <c r="F199" s="753"/>
      <c r="G199" s="754" t="s">
        <v>4450</v>
      </c>
      <c r="H199" s="755"/>
      <c r="I199" s="756"/>
      <c r="J199" s="756"/>
    </row>
    <row r="200" spans="1:10" s="37" customFormat="1">
      <c r="A200" s="751">
        <v>130</v>
      </c>
      <c r="B200" s="757">
        <v>100</v>
      </c>
      <c r="C200" s="757">
        <v>100</v>
      </c>
      <c r="D200" s="752">
        <v>500</v>
      </c>
      <c r="E200" s="752"/>
      <c r="F200" s="753"/>
      <c r="G200" s="754" t="s">
        <v>4451</v>
      </c>
      <c r="H200" s="755"/>
      <c r="I200" s="756"/>
      <c r="J200" s="756"/>
    </row>
    <row r="201" spans="1:10" s="37" customFormat="1">
      <c r="A201" s="751">
        <v>130</v>
      </c>
      <c r="B201" s="757">
        <v>100</v>
      </c>
      <c r="C201" s="757">
        <v>100</v>
      </c>
      <c r="D201" s="752">
        <v>600</v>
      </c>
      <c r="E201" s="752"/>
      <c r="F201" s="753"/>
      <c r="G201" s="754" t="s">
        <v>4452</v>
      </c>
      <c r="H201" s="755"/>
      <c r="I201" s="756"/>
      <c r="J201" s="756"/>
    </row>
    <row r="202" spans="1:10" s="37" customFormat="1">
      <c r="A202" s="751">
        <v>130</v>
      </c>
      <c r="B202" s="757">
        <v>100</v>
      </c>
      <c r="C202" s="757">
        <v>100</v>
      </c>
      <c r="D202" s="752">
        <v>700</v>
      </c>
      <c r="E202" s="752"/>
      <c r="F202" s="753"/>
      <c r="G202" s="754" t="s">
        <v>4453</v>
      </c>
      <c r="H202" s="755"/>
      <c r="I202" s="756"/>
      <c r="J202" s="756"/>
    </row>
    <row r="203" spans="1:10" s="37" customFormat="1">
      <c r="A203" s="751">
        <v>130</v>
      </c>
      <c r="B203" s="757">
        <v>100</v>
      </c>
      <c r="C203" s="757">
        <v>100</v>
      </c>
      <c r="D203" s="752">
        <v>800</v>
      </c>
      <c r="E203" s="752"/>
      <c r="F203" s="753"/>
      <c r="G203" s="754" t="s">
        <v>4454</v>
      </c>
      <c r="H203" s="755"/>
      <c r="I203" s="756"/>
      <c r="J203" s="756"/>
    </row>
    <row r="204" spans="1:10" s="37" customFormat="1">
      <c r="A204" s="751">
        <v>130</v>
      </c>
      <c r="B204" s="757">
        <v>100</v>
      </c>
      <c r="C204" s="757">
        <v>100</v>
      </c>
      <c r="D204" s="752">
        <v>900</v>
      </c>
      <c r="E204" s="752"/>
      <c r="F204" s="753"/>
      <c r="G204" s="754" t="s">
        <v>4455</v>
      </c>
      <c r="H204" s="755"/>
      <c r="I204" s="756"/>
      <c r="J204" s="756"/>
    </row>
    <row r="205" spans="1:10" s="37" customFormat="1">
      <c r="A205" s="751">
        <v>130</v>
      </c>
      <c r="B205" s="757">
        <v>100</v>
      </c>
      <c r="C205" s="757">
        <v>200</v>
      </c>
      <c r="D205" s="757"/>
      <c r="E205" s="757"/>
      <c r="F205" s="758"/>
      <c r="G205" s="759" t="s">
        <v>4456</v>
      </c>
      <c r="H205" s="803"/>
      <c r="I205" s="791"/>
      <c r="J205" s="791"/>
    </row>
    <row r="206" spans="1:10" s="37" customFormat="1">
      <c r="A206" s="751">
        <v>130</v>
      </c>
      <c r="B206" s="757">
        <v>100</v>
      </c>
      <c r="C206" s="757">
        <v>200</v>
      </c>
      <c r="D206" s="752">
        <v>100</v>
      </c>
      <c r="E206" s="752"/>
      <c r="F206" s="753"/>
      <c r="G206" s="754" t="s">
        <v>4457</v>
      </c>
      <c r="H206" s="755"/>
      <c r="I206" s="756">
        <v>9571</v>
      </c>
      <c r="J206" s="756">
        <v>13195</v>
      </c>
    </row>
    <row r="207" spans="1:10" s="37" customFormat="1">
      <c r="A207" s="751">
        <v>130</v>
      </c>
      <c r="B207" s="757">
        <v>100</v>
      </c>
      <c r="C207" s="757">
        <v>200</v>
      </c>
      <c r="D207" s="752">
        <v>200</v>
      </c>
      <c r="E207" s="752"/>
      <c r="F207" s="753"/>
      <c r="G207" s="754" t="s">
        <v>4458</v>
      </c>
      <c r="H207" s="755"/>
      <c r="I207" s="756">
        <v>4000</v>
      </c>
      <c r="J207" s="756">
        <v>4000</v>
      </c>
    </row>
    <row r="208" spans="1:10" s="37" customFormat="1">
      <c r="A208" s="751">
        <v>130</v>
      </c>
      <c r="B208" s="757">
        <v>100</v>
      </c>
      <c r="C208" s="757">
        <v>200</v>
      </c>
      <c r="D208" s="752">
        <v>300</v>
      </c>
      <c r="E208" s="752"/>
      <c r="F208" s="753"/>
      <c r="G208" s="754" t="s">
        <v>4459</v>
      </c>
      <c r="H208" s="755"/>
      <c r="I208" s="756">
        <v>11280</v>
      </c>
      <c r="J208" s="756">
        <v>5640</v>
      </c>
    </row>
    <row r="209" spans="1:10" s="37" customFormat="1">
      <c r="A209" s="751">
        <v>130</v>
      </c>
      <c r="B209" s="757">
        <v>100</v>
      </c>
      <c r="C209" s="757">
        <v>200</v>
      </c>
      <c r="D209" s="752">
        <v>400</v>
      </c>
      <c r="E209" s="752"/>
      <c r="F209" s="753"/>
      <c r="G209" s="754" t="s">
        <v>4460</v>
      </c>
      <c r="H209" s="755"/>
      <c r="I209" s="756"/>
      <c r="J209" s="756"/>
    </row>
    <row r="210" spans="1:10" s="37" customFormat="1">
      <c r="A210" s="751">
        <v>130</v>
      </c>
      <c r="B210" s="757">
        <v>100</v>
      </c>
      <c r="C210" s="757">
        <v>200</v>
      </c>
      <c r="D210" s="752">
        <v>500</v>
      </c>
      <c r="E210" s="752"/>
      <c r="F210" s="753"/>
      <c r="G210" s="754" t="s">
        <v>4461</v>
      </c>
      <c r="H210" s="755"/>
      <c r="I210" s="756"/>
      <c r="J210" s="756"/>
    </row>
    <row r="211" spans="1:10" s="37" customFormat="1">
      <c r="A211" s="751">
        <v>130</v>
      </c>
      <c r="B211" s="757">
        <v>100</v>
      </c>
      <c r="C211" s="757">
        <v>200</v>
      </c>
      <c r="D211" s="752">
        <v>600</v>
      </c>
      <c r="E211" s="752"/>
      <c r="F211" s="753"/>
      <c r="G211" s="754" t="s">
        <v>4462</v>
      </c>
      <c r="H211" s="755"/>
      <c r="I211" s="756"/>
      <c r="J211" s="756"/>
    </row>
    <row r="212" spans="1:10" s="37" customFormat="1">
      <c r="A212" s="751">
        <v>130</v>
      </c>
      <c r="B212" s="757">
        <v>100</v>
      </c>
      <c r="C212" s="757">
        <v>200</v>
      </c>
      <c r="D212" s="752">
        <v>700</v>
      </c>
      <c r="E212" s="752"/>
      <c r="F212" s="753"/>
      <c r="G212" s="754" t="s">
        <v>4463</v>
      </c>
      <c r="H212" s="755"/>
      <c r="I212" s="756"/>
      <c r="J212" s="756"/>
    </row>
    <row r="213" spans="1:10" s="37" customFormat="1">
      <c r="A213" s="751">
        <v>130</v>
      </c>
      <c r="B213" s="757">
        <v>100</v>
      </c>
      <c r="C213" s="757">
        <v>200</v>
      </c>
      <c r="D213" s="752">
        <v>800</v>
      </c>
      <c r="E213" s="752"/>
      <c r="F213" s="753"/>
      <c r="G213" s="754" t="s">
        <v>4464</v>
      </c>
      <c r="H213" s="755"/>
      <c r="I213" s="756"/>
      <c r="J213" s="756"/>
    </row>
    <row r="214" spans="1:10" s="37" customFormat="1">
      <c r="A214" s="751">
        <v>130</v>
      </c>
      <c r="B214" s="757">
        <v>200</v>
      </c>
      <c r="C214" s="757"/>
      <c r="D214" s="757"/>
      <c r="E214" s="757"/>
      <c r="F214" s="758"/>
      <c r="G214" s="759" t="s">
        <v>3618</v>
      </c>
      <c r="H214" s="755" t="s">
        <v>4041</v>
      </c>
      <c r="I214" s="791"/>
      <c r="J214" s="791"/>
    </row>
    <row r="215" spans="1:10" s="37" customFormat="1">
      <c r="A215" s="751">
        <v>130</v>
      </c>
      <c r="B215" s="757">
        <v>200</v>
      </c>
      <c r="C215" s="752">
        <v>100</v>
      </c>
      <c r="D215" s="752"/>
      <c r="E215" s="752"/>
      <c r="F215" s="753"/>
      <c r="G215" s="754" t="s">
        <v>4465</v>
      </c>
      <c r="H215" s="803"/>
      <c r="I215" s="756">
        <v>38793885</v>
      </c>
      <c r="J215" s="756">
        <v>38955437</v>
      </c>
    </row>
    <row r="216" spans="1:10" s="37" customFormat="1">
      <c r="A216" s="751">
        <v>130</v>
      </c>
      <c r="B216" s="757">
        <v>200</v>
      </c>
      <c r="C216" s="752">
        <v>110</v>
      </c>
      <c r="D216" s="752"/>
      <c r="E216" s="752"/>
      <c r="F216" s="753"/>
      <c r="G216" s="754" t="s">
        <v>4466</v>
      </c>
      <c r="H216" s="803"/>
      <c r="I216" s="756"/>
      <c r="J216" s="756"/>
    </row>
    <row r="217" spans="1:10" s="37" customFormat="1">
      <c r="A217" s="751">
        <v>130</v>
      </c>
      <c r="B217" s="757">
        <v>200</v>
      </c>
      <c r="C217" s="752">
        <v>200</v>
      </c>
      <c r="D217" s="752"/>
      <c r="E217" s="752"/>
      <c r="F217" s="753"/>
      <c r="G217" s="754" t="s">
        <v>4467</v>
      </c>
      <c r="H217" s="755"/>
      <c r="I217" s="756"/>
      <c r="J217" s="756"/>
    </row>
    <row r="218" spans="1:10" s="37" customFormat="1">
      <c r="A218" s="751">
        <v>130</v>
      </c>
      <c r="B218" s="752">
        <v>300</v>
      </c>
      <c r="C218" s="752"/>
      <c r="D218" s="752"/>
      <c r="E218" s="752"/>
      <c r="F218" s="753"/>
      <c r="G218" s="754" t="s">
        <v>3619</v>
      </c>
      <c r="H218" s="755" t="s">
        <v>4043</v>
      </c>
      <c r="I218" s="756"/>
      <c r="J218" s="756"/>
    </row>
    <row r="219" spans="1:10" s="37" customFormat="1">
      <c r="A219" s="751">
        <v>130</v>
      </c>
      <c r="B219" s="757">
        <v>400</v>
      </c>
      <c r="C219" s="757"/>
      <c r="D219" s="757"/>
      <c r="E219" s="757"/>
      <c r="F219" s="758"/>
      <c r="G219" s="759" t="s">
        <v>3620</v>
      </c>
      <c r="H219" s="755" t="s">
        <v>4045</v>
      </c>
      <c r="I219" s="791"/>
      <c r="J219" s="791"/>
    </row>
    <row r="220" spans="1:10" s="37" customFormat="1">
      <c r="A220" s="751">
        <v>130</v>
      </c>
      <c r="B220" s="757">
        <v>400</v>
      </c>
      <c r="C220" s="752">
        <v>100</v>
      </c>
      <c r="D220" s="752"/>
      <c r="E220" s="752"/>
      <c r="F220" s="753"/>
      <c r="G220" s="754" t="s">
        <v>4468</v>
      </c>
      <c r="H220" s="803"/>
      <c r="I220" s="756">
        <v>1459</v>
      </c>
      <c r="J220" s="756">
        <v>840</v>
      </c>
    </row>
    <row r="221" spans="1:10" s="37" customFormat="1">
      <c r="A221" s="751">
        <v>130</v>
      </c>
      <c r="B221" s="757">
        <v>400</v>
      </c>
      <c r="C221" s="752">
        <v>110</v>
      </c>
      <c r="D221" s="752"/>
      <c r="E221" s="752"/>
      <c r="F221" s="753"/>
      <c r="G221" s="754" t="s">
        <v>4469</v>
      </c>
      <c r="H221" s="803"/>
      <c r="I221" s="756"/>
      <c r="J221" s="756"/>
    </row>
    <row r="222" spans="1:10" s="37" customFormat="1">
      <c r="A222" s="751">
        <v>130</v>
      </c>
      <c r="B222" s="757">
        <v>400</v>
      </c>
      <c r="C222" s="752">
        <v>120</v>
      </c>
      <c r="D222" s="752"/>
      <c r="E222" s="752"/>
      <c r="F222" s="753"/>
      <c r="G222" s="754" t="s">
        <v>4470</v>
      </c>
      <c r="H222" s="803"/>
      <c r="I222" s="756"/>
      <c r="J222" s="756"/>
    </row>
    <row r="223" spans="1:10" s="37" customFormat="1">
      <c r="A223" s="751">
        <v>130</v>
      </c>
      <c r="B223" s="757">
        <v>400</v>
      </c>
      <c r="C223" s="752">
        <v>130</v>
      </c>
      <c r="D223" s="752"/>
      <c r="E223" s="752"/>
      <c r="F223" s="753"/>
      <c r="G223" s="754" t="s">
        <v>4471</v>
      </c>
      <c r="H223" s="803"/>
      <c r="I223" s="756"/>
      <c r="J223" s="756"/>
    </row>
    <row r="224" spans="1:10" s="37" customFormat="1">
      <c r="A224" s="751">
        <v>130</v>
      </c>
      <c r="B224" s="757">
        <v>400</v>
      </c>
      <c r="C224" s="752">
        <v>200</v>
      </c>
      <c r="D224" s="752"/>
      <c r="E224" s="752"/>
      <c r="F224" s="753"/>
      <c r="G224" s="754" t="s">
        <v>4472</v>
      </c>
      <c r="H224" s="755"/>
      <c r="I224" s="756"/>
      <c r="J224" s="756"/>
    </row>
    <row r="225" spans="1:10" s="37" customFormat="1">
      <c r="A225" s="751">
        <v>130</v>
      </c>
      <c r="B225" s="757">
        <v>400</v>
      </c>
      <c r="C225" s="752">
        <v>300</v>
      </c>
      <c r="D225" s="752"/>
      <c r="E225" s="752"/>
      <c r="F225" s="753"/>
      <c r="G225" s="754" t="s">
        <v>4473</v>
      </c>
      <c r="H225" s="755"/>
      <c r="I225" s="756"/>
      <c r="J225" s="756"/>
    </row>
    <row r="226" spans="1:10" s="37" customFormat="1">
      <c r="A226" s="751">
        <v>130</v>
      </c>
      <c r="B226" s="757">
        <v>400</v>
      </c>
      <c r="C226" s="752">
        <v>400</v>
      </c>
      <c r="D226" s="752"/>
      <c r="E226" s="752"/>
      <c r="F226" s="753"/>
      <c r="G226" s="754" t="s">
        <v>4474</v>
      </c>
      <c r="H226" s="755"/>
      <c r="I226" s="756"/>
      <c r="J226" s="756"/>
    </row>
    <row r="227" spans="1:10" s="37" customFormat="1">
      <c r="A227" s="751">
        <v>130</v>
      </c>
      <c r="B227" s="757">
        <v>900</v>
      </c>
      <c r="C227" s="757"/>
      <c r="D227" s="757"/>
      <c r="E227" s="757"/>
      <c r="F227" s="758"/>
      <c r="G227" s="759" t="s">
        <v>4475</v>
      </c>
      <c r="H227" s="755"/>
      <c r="I227" s="791"/>
      <c r="J227" s="791"/>
    </row>
    <row r="228" spans="1:10" s="37" customFormat="1">
      <c r="A228" s="751">
        <v>130</v>
      </c>
      <c r="B228" s="757">
        <v>900</v>
      </c>
      <c r="C228" s="752">
        <v>100</v>
      </c>
      <c r="D228" s="752"/>
      <c r="E228" s="752"/>
      <c r="F228" s="753"/>
      <c r="G228" s="754" t="s">
        <v>4476</v>
      </c>
      <c r="H228" s="755"/>
      <c r="I228" s="756"/>
      <c r="J228" s="756"/>
    </row>
    <row r="229" spans="1:10" s="37" customFormat="1">
      <c r="A229" s="751">
        <v>130</v>
      </c>
      <c r="B229" s="757">
        <v>900</v>
      </c>
      <c r="C229" s="752">
        <v>200</v>
      </c>
      <c r="D229" s="752"/>
      <c r="E229" s="752"/>
      <c r="F229" s="753"/>
      <c r="G229" s="754" t="s">
        <v>4477</v>
      </c>
      <c r="H229" s="755"/>
      <c r="I229" s="756"/>
      <c r="J229" s="756"/>
    </row>
    <row r="230" spans="1:10" s="37" customFormat="1">
      <c r="A230" s="751">
        <v>130</v>
      </c>
      <c r="B230" s="757">
        <v>900</v>
      </c>
      <c r="C230" s="752">
        <v>300</v>
      </c>
      <c r="D230" s="752"/>
      <c r="E230" s="752"/>
      <c r="F230" s="753"/>
      <c r="G230" s="754" t="s">
        <v>4478</v>
      </c>
      <c r="H230" s="755"/>
      <c r="I230" s="756">
        <v>0</v>
      </c>
      <c r="J230" s="756"/>
    </row>
    <row r="231" spans="1:10" s="37" customFormat="1">
      <c r="A231" s="751">
        <v>130</v>
      </c>
      <c r="B231" s="757">
        <v>900</v>
      </c>
      <c r="C231" s="752">
        <v>301</v>
      </c>
      <c r="D231" s="752"/>
      <c r="E231" s="752"/>
      <c r="F231" s="753"/>
      <c r="G231" s="754" t="s">
        <v>4479</v>
      </c>
      <c r="H231" s="755"/>
      <c r="I231" s="756"/>
      <c r="J231" s="756"/>
    </row>
    <row r="232" spans="1:10" s="37" customFormat="1">
      <c r="A232" s="751">
        <v>130</v>
      </c>
      <c r="B232" s="757">
        <v>900</v>
      </c>
      <c r="C232" s="752">
        <v>302</v>
      </c>
      <c r="D232" s="752"/>
      <c r="E232" s="752"/>
      <c r="F232" s="753"/>
      <c r="G232" s="754" t="s">
        <v>4480</v>
      </c>
      <c r="H232" s="755"/>
      <c r="I232" s="756"/>
      <c r="J232" s="756"/>
    </row>
    <row r="233" spans="1:10" s="37" customFormat="1">
      <c r="A233" s="751">
        <v>130</v>
      </c>
      <c r="B233" s="757">
        <v>900</v>
      </c>
      <c r="C233" s="752">
        <v>303</v>
      </c>
      <c r="D233" s="752"/>
      <c r="E233" s="752"/>
      <c r="F233" s="753"/>
      <c r="G233" s="754" t="s">
        <v>4481</v>
      </c>
      <c r="H233" s="755"/>
      <c r="I233" s="756"/>
      <c r="J233" s="756"/>
    </row>
    <row r="234" spans="1:10" s="37" customFormat="1">
      <c r="A234" s="751">
        <v>130</v>
      </c>
      <c r="B234" s="757">
        <v>900</v>
      </c>
      <c r="C234" s="752">
        <v>304</v>
      </c>
      <c r="D234" s="752"/>
      <c r="E234" s="752"/>
      <c r="F234" s="753"/>
      <c r="G234" s="754" t="s">
        <v>4482</v>
      </c>
      <c r="H234" s="755"/>
      <c r="I234" s="756"/>
      <c r="J234" s="756"/>
    </row>
    <row r="235" spans="1:10" s="37" customFormat="1">
      <c r="A235" s="751">
        <v>130</v>
      </c>
      <c r="B235" s="757">
        <v>900</v>
      </c>
      <c r="C235" s="752">
        <v>305</v>
      </c>
      <c r="D235" s="752"/>
      <c r="E235" s="752"/>
      <c r="F235" s="753"/>
      <c r="G235" s="754" t="s">
        <v>4483</v>
      </c>
      <c r="H235" s="755"/>
      <c r="I235" s="756"/>
      <c r="J235" s="756"/>
    </row>
    <row r="236" spans="1:10" s="37" customFormat="1">
      <c r="A236" s="751">
        <v>130</v>
      </c>
      <c r="B236" s="757">
        <v>900</v>
      </c>
      <c r="C236" s="752">
        <v>306</v>
      </c>
      <c r="D236" s="752"/>
      <c r="E236" s="752"/>
      <c r="F236" s="753"/>
      <c r="G236" s="754" t="s">
        <v>4484</v>
      </c>
      <c r="H236" s="755"/>
      <c r="I236" s="756"/>
      <c r="J236" s="756"/>
    </row>
    <row r="237" spans="1:10" s="37" customFormat="1">
      <c r="A237" s="751">
        <v>130</v>
      </c>
      <c r="B237" s="757">
        <v>900</v>
      </c>
      <c r="C237" s="752">
        <v>307</v>
      </c>
      <c r="D237" s="752"/>
      <c r="E237" s="752"/>
      <c r="F237" s="753"/>
      <c r="G237" s="754" t="s">
        <v>4485</v>
      </c>
      <c r="H237" s="755"/>
      <c r="I237" s="756"/>
      <c r="J237" s="756"/>
    </row>
    <row r="238" spans="1:10" s="37" customFormat="1">
      <c r="A238" s="751">
        <v>130</v>
      </c>
      <c r="B238" s="757">
        <v>900</v>
      </c>
      <c r="C238" s="752">
        <v>308</v>
      </c>
      <c r="D238" s="752"/>
      <c r="E238" s="752"/>
      <c r="F238" s="753"/>
      <c r="G238" s="754" t="s">
        <v>4486</v>
      </c>
      <c r="H238" s="755"/>
      <c r="I238" s="756"/>
      <c r="J238" s="756"/>
    </row>
    <row r="239" spans="1:10" s="37" customFormat="1">
      <c r="A239" s="751">
        <v>130</v>
      </c>
      <c r="B239" s="757">
        <v>900</v>
      </c>
      <c r="C239" s="752">
        <v>309</v>
      </c>
      <c r="D239" s="752"/>
      <c r="E239" s="752"/>
      <c r="F239" s="753"/>
      <c r="G239" s="754" t="s">
        <v>4487</v>
      </c>
      <c r="H239" s="755"/>
      <c r="I239" s="756"/>
      <c r="J239" s="756"/>
    </row>
    <row r="240" spans="1:10" s="37" customFormat="1">
      <c r="A240" s="761">
        <v>140</v>
      </c>
      <c r="B240" s="762">
        <v>0</v>
      </c>
      <c r="C240" s="762">
        <v>0</v>
      </c>
      <c r="D240" s="762">
        <v>0</v>
      </c>
      <c r="E240" s="762">
        <v>0</v>
      </c>
      <c r="F240" s="763">
        <v>0</v>
      </c>
      <c r="G240" s="764" t="s">
        <v>3622</v>
      </c>
      <c r="H240" s="802"/>
      <c r="I240" s="793"/>
      <c r="J240" s="793"/>
    </row>
    <row r="241" spans="1:12" s="37" customFormat="1">
      <c r="A241" s="751">
        <v>140</v>
      </c>
      <c r="B241" s="757">
        <v>100</v>
      </c>
      <c r="C241" s="757"/>
      <c r="D241" s="757"/>
      <c r="E241" s="757"/>
      <c r="F241" s="758"/>
      <c r="G241" s="759" t="s">
        <v>4488</v>
      </c>
      <c r="H241" s="755"/>
      <c r="I241" s="791"/>
      <c r="J241" s="791"/>
    </row>
    <row r="242" spans="1:12" s="37" customFormat="1">
      <c r="A242" s="751">
        <v>140</v>
      </c>
      <c r="B242" s="757">
        <v>100</v>
      </c>
      <c r="C242" s="752">
        <v>100</v>
      </c>
      <c r="D242" s="752"/>
      <c r="E242" s="752"/>
      <c r="F242" s="753"/>
      <c r="G242" s="754" t="s">
        <v>3623</v>
      </c>
      <c r="H242" s="755" t="s">
        <v>4051</v>
      </c>
      <c r="I242" s="804"/>
      <c r="J242" s="804">
        <v>665</v>
      </c>
    </row>
    <row r="243" spans="1:12" s="749" customFormat="1">
      <c r="A243" s="751">
        <v>140</v>
      </c>
      <c r="B243" s="757">
        <v>100</v>
      </c>
      <c r="C243" s="752">
        <v>200</v>
      </c>
      <c r="D243" s="752"/>
      <c r="E243" s="752"/>
      <c r="F243" s="753"/>
      <c r="G243" s="754" t="s">
        <v>4489</v>
      </c>
      <c r="H243" s="755" t="s">
        <v>4053</v>
      </c>
      <c r="I243" s="804">
        <v>19280</v>
      </c>
      <c r="J243" s="804">
        <v>3463</v>
      </c>
    </row>
    <row r="244" spans="1:12" s="37" customFormat="1">
      <c r="A244" s="751">
        <v>140</v>
      </c>
      <c r="B244" s="757">
        <v>200</v>
      </c>
      <c r="C244" s="757"/>
      <c r="D244" s="757"/>
      <c r="E244" s="757"/>
      <c r="F244" s="758"/>
      <c r="G244" s="759" t="s">
        <v>4490</v>
      </c>
      <c r="H244" s="755"/>
      <c r="I244" s="791"/>
      <c r="J244" s="791"/>
    </row>
    <row r="245" spans="1:12" s="37" customFormat="1">
      <c r="A245" s="751">
        <v>140</v>
      </c>
      <c r="B245" s="757">
        <v>200</v>
      </c>
      <c r="C245" s="752">
        <v>100</v>
      </c>
      <c r="D245" s="752"/>
      <c r="E245" s="752"/>
      <c r="F245" s="753"/>
      <c r="G245" s="754" t="s">
        <v>3624</v>
      </c>
      <c r="H245" s="755" t="s">
        <v>4057</v>
      </c>
      <c r="I245" s="804">
        <v>27892</v>
      </c>
      <c r="J245" s="804">
        <v>30638</v>
      </c>
    </row>
    <row r="246" spans="1:12" s="37" customFormat="1">
      <c r="A246" s="751">
        <v>140</v>
      </c>
      <c r="B246" s="757">
        <v>200</v>
      </c>
      <c r="C246" s="752">
        <v>200</v>
      </c>
      <c r="D246" s="752"/>
      <c r="E246" s="752"/>
      <c r="F246" s="753"/>
      <c r="G246" s="754" t="s">
        <v>4491</v>
      </c>
      <c r="H246" s="755" t="s">
        <v>4059</v>
      </c>
      <c r="I246" s="804"/>
      <c r="J246" s="804"/>
    </row>
    <row r="247" spans="1:12" s="37" customFormat="1">
      <c r="A247" s="805">
        <v>150</v>
      </c>
      <c r="B247" s="806">
        <v>0</v>
      </c>
      <c r="C247" s="806">
        <v>0</v>
      </c>
      <c r="D247" s="806">
        <v>0</v>
      </c>
      <c r="E247" s="806">
        <v>0</v>
      </c>
      <c r="F247" s="807">
        <v>0</v>
      </c>
      <c r="G247" s="808" t="s">
        <v>4492</v>
      </c>
      <c r="H247" s="809" t="s">
        <v>4061</v>
      </c>
      <c r="I247" s="810">
        <f>SUM(I4:I246)</f>
        <v>165655270</v>
      </c>
      <c r="J247" s="810">
        <f>SUM(J4:J246)</f>
        <v>164039938</v>
      </c>
      <c r="L247" s="811"/>
    </row>
    <row r="248" spans="1:12" s="37" customFormat="1">
      <c r="A248" s="761">
        <v>195</v>
      </c>
      <c r="B248" s="762">
        <v>0</v>
      </c>
      <c r="C248" s="762">
        <v>0</v>
      </c>
      <c r="D248" s="762">
        <v>0</v>
      </c>
      <c r="E248" s="762">
        <v>0</v>
      </c>
      <c r="F248" s="763">
        <v>0</v>
      </c>
      <c r="G248" s="764" t="s">
        <v>3627</v>
      </c>
      <c r="H248" s="802"/>
      <c r="I248" s="793"/>
      <c r="J248" s="793"/>
    </row>
    <row r="249" spans="1:12" s="37" customFormat="1">
      <c r="A249" s="751">
        <v>195</v>
      </c>
      <c r="B249" s="752">
        <v>100</v>
      </c>
      <c r="C249" s="752"/>
      <c r="D249" s="752"/>
      <c r="E249" s="752"/>
      <c r="F249" s="753"/>
      <c r="G249" s="754" t="s">
        <v>4493</v>
      </c>
      <c r="H249" s="755" t="s">
        <v>4065</v>
      </c>
      <c r="I249" s="812">
        <v>66479</v>
      </c>
      <c r="J249" s="812">
        <v>116759</v>
      </c>
    </row>
    <row r="250" spans="1:12" s="749" customFormat="1">
      <c r="A250" s="751">
        <v>195</v>
      </c>
      <c r="B250" s="752">
        <v>200</v>
      </c>
      <c r="C250" s="752"/>
      <c r="D250" s="752"/>
      <c r="E250" s="752"/>
      <c r="F250" s="753"/>
      <c r="G250" s="754" t="s">
        <v>4494</v>
      </c>
      <c r="H250" s="755" t="s">
        <v>4067</v>
      </c>
      <c r="I250" s="812"/>
      <c r="J250" s="812"/>
    </row>
    <row r="251" spans="1:12" s="749" customFormat="1">
      <c r="A251" s="751">
        <v>195</v>
      </c>
      <c r="B251" s="752">
        <v>300</v>
      </c>
      <c r="C251" s="752"/>
      <c r="D251" s="752"/>
      <c r="E251" s="752"/>
      <c r="F251" s="753"/>
      <c r="G251" s="754" t="s">
        <v>4495</v>
      </c>
      <c r="H251" s="755" t="s">
        <v>4069</v>
      </c>
      <c r="I251" s="812">
        <v>1463350</v>
      </c>
      <c r="J251" s="812"/>
    </row>
    <row r="252" spans="1:12" s="37" customFormat="1">
      <c r="A252" s="751">
        <v>195</v>
      </c>
      <c r="B252" s="752">
        <v>350</v>
      </c>
      <c r="C252" s="752"/>
      <c r="D252" s="752"/>
      <c r="E252" s="752"/>
      <c r="F252" s="753"/>
      <c r="G252" s="754" t="s">
        <v>4496</v>
      </c>
      <c r="H252" s="755" t="s">
        <v>4071</v>
      </c>
      <c r="I252" s="812"/>
      <c r="J252" s="812"/>
    </row>
    <row r="253" spans="1:12" s="37" customFormat="1">
      <c r="A253" s="751">
        <v>195</v>
      </c>
      <c r="B253" s="757">
        <v>400</v>
      </c>
      <c r="C253" s="757"/>
      <c r="D253" s="757"/>
      <c r="E253" s="757"/>
      <c r="F253" s="758"/>
      <c r="G253" s="759" t="s">
        <v>4497</v>
      </c>
      <c r="H253" s="755" t="s">
        <v>4073</v>
      </c>
      <c r="I253" s="812"/>
      <c r="J253" s="812"/>
    </row>
    <row r="254" spans="1:12" s="37" customFormat="1">
      <c r="A254" s="751">
        <v>195</v>
      </c>
      <c r="B254" s="757">
        <v>400</v>
      </c>
      <c r="C254" s="752">
        <v>100</v>
      </c>
      <c r="D254" s="752"/>
      <c r="E254" s="752"/>
      <c r="F254" s="753"/>
      <c r="G254" s="754" t="s">
        <v>4498</v>
      </c>
      <c r="H254" s="755"/>
      <c r="I254" s="812"/>
      <c r="J254" s="812"/>
    </row>
    <row r="255" spans="1:12" s="37" customFormat="1">
      <c r="A255" s="751">
        <v>195</v>
      </c>
      <c r="B255" s="757">
        <v>400</v>
      </c>
      <c r="C255" s="752">
        <v>200</v>
      </c>
      <c r="D255" s="752"/>
      <c r="E255" s="752"/>
      <c r="F255" s="753"/>
      <c r="G255" s="754" t="s">
        <v>3630</v>
      </c>
      <c r="H255" s="755"/>
      <c r="I255" s="812"/>
      <c r="J255" s="812"/>
    </row>
    <row r="256" spans="1:12" s="37" customFormat="1">
      <c r="A256" s="751">
        <v>195</v>
      </c>
      <c r="B256" s="757">
        <v>400</v>
      </c>
      <c r="C256" s="752">
        <v>300</v>
      </c>
      <c r="D256" s="752"/>
      <c r="E256" s="752"/>
      <c r="F256" s="753"/>
      <c r="G256" s="754" t="s">
        <v>4499</v>
      </c>
      <c r="H256" s="755"/>
      <c r="I256" s="804">
        <v>1277134</v>
      </c>
      <c r="J256" s="804">
        <v>2781638</v>
      </c>
    </row>
    <row r="257" spans="1:10" s="37" customFormat="1">
      <c r="A257" s="751">
        <v>195</v>
      </c>
      <c r="B257" s="757">
        <v>400</v>
      </c>
      <c r="C257" s="752">
        <v>400</v>
      </c>
      <c r="D257" s="752"/>
      <c r="E257" s="752"/>
      <c r="F257" s="753"/>
      <c r="G257" s="754" t="s">
        <v>4500</v>
      </c>
      <c r="H257" s="755"/>
      <c r="I257" s="804"/>
      <c r="J257" s="804"/>
    </row>
    <row r="258" spans="1:10" s="37" customFormat="1">
      <c r="A258" s="751">
        <v>195</v>
      </c>
      <c r="B258" s="757">
        <v>400</v>
      </c>
      <c r="C258" s="752">
        <v>500</v>
      </c>
      <c r="D258" s="752"/>
      <c r="E258" s="752"/>
      <c r="F258" s="753"/>
      <c r="G258" s="754" t="s">
        <v>4501</v>
      </c>
      <c r="H258" s="755"/>
      <c r="I258" s="804"/>
      <c r="J258" s="804"/>
    </row>
    <row r="259" spans="1:10" s="37" customFormat="1">
      <c r="A259" s="751">
        <v>195</v>
      </c>
      <c r="B259" s="757">
        <v>400</v>
      </c>
      <c r="C259" s="752">
        <v>600</v>
      </c>
      <c r="D259" s="752"/>
      <c r="E259" s="752"/>
      <c r="F259" s="753"/>
      <c r="G259" s="754" t="s">
        <v>4502</v>
      </c>
      <c r="H259" s="755"/>
      <c r="I259" s="812"/>
      <c r="J259" s="812"/>
    </row>
    <row r="260" spans="1:10" s="37" customFormat="1" ht="13.5" thickBot="1">
      <c r="A260" s="813">
        <v>195</v>
      </c>
      <c r="B260" s="814">
        <v>400</v>
      </c>
      <c r="C260" s="815">
        <v>900</v>
      </c>
      <c r="D260" s="815"/>
      <c r="E260" s="815"/>
      <c r="F260" s="816"/>
      <c r="G260" s="817" t="s">
        <v>4503</v>
      </c>
      <c r="H260" s="818"/>
      <c r="I260" s="819"/>
      <c r="J260" s="819"/>
    </row>
    <row r="261" spans="1:10" s="37" customFormat="1">
      <c r="H261" s="820"/>
      <c r="I261" s="821"/>
      <c r="J261" s="821"/>
    </row>
    <row r="262" spans="1:10" s="37" customFormat="1">
      <c r="H262" s="820"/>
      <c r="I262" s="189"/>
      <c r="J262" s="189"/>
    </row>
    <row r="263" spans="1:10" s="37" customFormat="1">
      <c r="A263" s="742"/>
      <c r="B263" s="742"/>
      <c r="C263" s="742"/>
      <c r="D263" s="742"/>
      <c r="E263" s="742"/>
      <c r="F263" s="742"/>
      <c r="G263" s="742"/>
      <c r="H263" s="822"/>
      <c r="I263" s="823"/>
      <c r="J263" s="823"/>
    </row>
    <row r="264" spans="1:10" s="37" customFormat="1">
      <c r="A264" s="742"/>
      <c r="B264" s="742"/>
      <c r="C264" s="742"/>
      <c r="D264" s="742"/>
      <c r="E264" s="742"/>
      <c r="F264" s="742"/>
      <c r="G264" s="742"/>
      <c r="H264" s="822"/>
      <c r="I264" s="823"/>
      <c r="J264" s="823"/>
    </row>
    <row r="265" spans="1:10" s="37" customFormat="1">
      <c r="A265" s="742"/>
      <c r="B265" s="742"/>
      <c r="C265" s="742"/>
      <c r="D265" s="742"/>
      <c r="E265" s="742"/>
      <c r="F265" s="742"/>
      <c r="G265" s="742"/>
      <c r="H265" s="822"/>
      <c r="I265" s="823"/>
      <c r="J265" s="823"/>
    </row>
  </sheetData>
  <autoFilter ref="A2:N260" xr:uid="{00000000-0009-0000-0000-000006000000}"/>
  <mergeCells count="5">
    <mergeCell ref="A1:F1"/>
    <mergeCell ref="G1:G2"/>
    <mergeCell ref="H1:H2"/>
    <mergeCell ref="I1:I2"/>
    <mergeCell ref="J1:J2"/>
  </mergeCells>
  <pageMargins left="0.70866141732283472" right="0.70866141732283472" top="0.74803149606299213" bottom="0.74803149606299213" header="0.31496062992125984" footer="0.31496062992125984"/>
  <pageSetup paperSize="9" scale="63" fitToHeight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22"/>
  <sheetViews>
    <sheetView tabSelected="1" workbookViewId="0">
      <pane ySplit="2" topLeftCell="A140" activePane="bottomLeft" state="frozen"/>
      <selection activeCell="F101" sqref="F101"/>
      <selection pane="bottomLeft" activeCell="I168" sqref="I168"/>
    </sheetView>
  </sheetViews>
  <sheetFormatPr defaultColWidth="8.85546875" defaultRowHeight="12.75"/>
  <cols>
    <col min="1" max="4" width="4" style="893" bestFit="1" customWidth="1"/>
    <col min="5" max="5" width="3" style="893" bestFit="1" customWidth="1"/>
    <col min="6" max="6" width="3.5703125" style="893" customWidth="1"/>
    <col min="7" max="7" width="70.5703125" style="893" customWidth="1"/>
    <col min="8" max="8" width="13.28515625" style="894" customWidth="1"/>
    <col min="9" max="10" width="15.42578125" style="895" customWidth="1"/>
    <col min="11" max="11" width="4.140625" style="893" customWidth="1"/>
    <col min="12" max="16384" width="8.85546875" style="893"/>
  </cols>
  <sheetData>
    <row r="1" spans="1:10" s="37" customFormat="1" ht="20.25" customHeight="1" thickBot="1">
      <c r="A1" s="1055" t="s">
        <v>119</v>
      </c>
      <c r="B1" s="1056"/>
      <c r="C1" s="1056"/>
      <c r="D1" s="1056"/>
      <c r="E1" s="1056"/>
      <c r="F1" s="1057"/>
      <c r="G1" s="1058" t="s">
        <v>4504</v>
      </c>
      <c r="H1" s="1060" t="s">
        <v>4342</v>
      </c>
      <c r="I1" s="1062" t="s">
        <v>4877</v>
      </c>
      <c r="J1" s="1062" t="s">
        <v>4343</v>
      </c>
    </row>
    <row r="2" spans="1:10" s="37" customFormat="1" ht="20.25" customHeight="1" thickBot="1">
      <c r="A2" s="210" t="s">
        <v>122</v>
      </c>
      <c r="B2" s="210" t="s">
        <v>123</v>
      </c>
      <c r="C2" s="210" t="s">
        <v>124</v>
      </c>
      <c r="D2" s="210" t="s">
        <v>125</v>
      </c>
      <c r="E2" s="210" t="s">
        <v>126</v>
      </c>
      <c r="F2" s="210" t="s">
        <v>127</v>
      </c>
      <c r="G2" s="1059"/>
      <c r="H2" s="1061"/>
      <c r="I2" s="1063"/>
      <c r="J2" s="1063"/>
    </row>
    <row r="3" spans="1:10" s="749" customFormat="1" ht="13.5" thickBot="1">
      <c r="A3" s="824">
        <v>200</v>
      </c>
      <c r="B3" s="825">
        <v>0</v>
      </c>
      <c r="C3" s="825">
        <v>0</v>
      </c>
      <c r="D3" s="825">
        <v>0</v>
      </c>
      <c r="E3" s="826">
        <v>0</v>
      </c>
      <c r="F3" s="827">
        <v>0</v>
      </c>
      <c r="G3" s="828" t="s">
        <v>3636</v>
      </c>
      <c r="H3" s="829"/>
      <c r="I3" s="830"/>
      <c r="J3" s="830"/>
    </row>
    <row r="4" spans="1:10" s="37" customFormat="1">
      <c r="A4" s="831">
        <v>200</v>
      </c>
      <c r="B4" s="832">
        <v>100</v>
      </c>
      <c r="C4" s="833"/>
      <c r="D4" s="833"/>
      <c r="E4" s="833"/>
      <c r="F4" s="834"/>
      <c r="G4" s="801" t="s">
        <v>4505</v>
      </c>
      <c r="H4" s="792" t="s">
        <v>4077</v>
      </c>
      <c r="I4" s="835">
        <v>308581</v>
      </c>
      <c r="J4" s="835">
        <v>269581</v>
      </c>
    </row>
    <row r="5" spans="1:10" s="37" customFormat="1">
      <c r="A5" s="831">
        <v>200</v>
      </c>
      <c r="B5" s="836">
        <v>200</v>
      </c>
      <c r="C5" s="836"/>
      <c r="D5" s="836"/>
      <c r="E5" s="836"/>
      <c r="F5" s="837"/>
      <c r="G5" s="838" t="s">
        <v>4506</v>
      </c>
      <c r="H5" s="755"/>
      <c r="I5" s="791"/>
      <c r="J5" s="791"/>
    </row>
    <row r="6" spans="1:10" s="37" customFormat="1">
      <c r="A6" s="831">
        <v>200</v>
      </c>
      <c r="B6" s="836">
        <v>200</v>
      </c>
      <c r="C6" s="839">
        <v>100</v>
      </c>
      <c r="D6" s="836"/>
      <c r="E6" s="836"/>
      <c r="F6" s="837"/>
      <c r="G6" s="796" t="s">
        <v>3639</v>
      </c>
      <c r="H6" s="755" t="s">
        <v>4081</v>
      </c>
      <c r="I6" s="812">
        <v>2748992</v>
      </c>
      <c r="J6" s="812">
        <v>2931371</v>
      </c>
    </row>
    <row r="7" spans="1:10" s="37" customFormat="1">
      <c r="A7" s="831">
        <v>200</v>
      </c>
      <c r="B7" s="836">
        <v>200</v>
      </c>
      <c r="C7" s="836">
        <v>200</v>
      </c>
      <c r="D7" s="836"/>
      <c r="E7" s="836"/>
      <c r="F7" s="837"/>
      <c r="G7" s="838" t="s">
        <v>3640</v>
      </c>
      <c r="H7" s="755"/>
      <c r="I7" s="791"/>
      <c r="J7" s="791"/>
    </row>
    <row r="8" spans="1:10" s="37" customFormat="1">
      <c r="A8" s="831">
        <v>200</v>
      </c>
      <c r="B8" s="836">
        <v>200</v>
      </c>
      <c r="C8" s="836">
        <v>200</v>
      </c>
      <c r="D8" s="839">
        <v>100</v>
      </c>
      <c r="E8" s="839"/>
      <c r="F8" s="840"/>
      <c r="G8" s="796" t="s">
        <v>3642</v>
      </c>
      <c r="H8" s="755" t="s">
        <v>4085</v>
      </c>
      <c r="I8" s="835">
        <v>15013895</v>
      </c>
      <c r="J8" s="835">
        <v>15039145</v>
      </c>
    </row>
    <row r="9" spans="1:10" s="37" customFormat="1">
      <c r="A9" s="831">
        <v>200</v>
      </c>
      <c r="B9" s="836">
        <v>200</v>
      </c>
      <c r="C9" s="836">
        <v>200</v>
      </c>
      <c r="D9" s="839">
        <v>200</v>
      </c>
      <c r="E9" s="839"/>
      <c r="F9" s="840"/>
      <c r="G9" s="796" t="s">
        <v>4507</v>
      </c>
      <c r="H9" s="755" t="s">
        <v>4087</v>
      </c>
      <c r="I9" s="835">
        <v>958921</v>
      </c>
      <c r="J9" s="835">
        <v>539204</v>
      </c>
    </row>
    <row r="10" spans="1:10" s="37" customFormat="1">
      <c r="A10" s="831">
        <v>200</v>
      </c>
      <c r="B10" s="836">
        <v>200</v>
      </c>
      <c r="C10" s="836">
        <v>200</v>
      </c>
      <c r="D10" s="839">
        <v>300</v>
      </c>
      <c r="E10" s="839"/>
      <c r="F10" s="840"/>
      <c r="G10" s="796" t="s">
        <v>4508</v>
      </c>
      <c r="H10" s="755" t="s">
        <v>4089</v>
      </c>
      <c r="I10" s="835">
        <v>6755101</v>
      </c>
      <c r="J10" s="835">
        <v>6898435</v>
      </c>
    </row>
    <row r="11" spans="1:10" s="37" customFormat="1">
      <c r="A11" s="831">
        <v>200</v>
      </c>
      <c r="B11" s="836">
        <v>200</v>
      </c>
      <c r="C11" s="836">
        <v>300</v>
      </c>
      <c r="D11" s="836"/>
      <c r="E11" s="836"/>
      <c r="F11" s="837"/>
      <c r="G11" s="838" t="s">
        <v>3646</v>
      </c>
      <c r="H11" s="755" t="s">
        <v>4091</v>
      </c>
      <c r="I11" s="791"/>
      <c r="J11" s="791"/>
    </row>
    <row r="12" spans="1:10" s="37" customFormat="1">
      <c r="A12" s="831">
        <v>200</v>
      </c>
      <c r="B12" s="836">
        <v>200</v>
      </c>
      <c r="C12" s="836">
        <v>300</v>
      </c>
      <c r="D12" s="839">
        <v>100</v>
      </c>
      <c r="E12" s="839"/>
      <c r="F12" s="840"/>
      <c r="G12" s="841" t="s">
        <v>4509</v>
      </c>
      <c r="H12" s="755"/>
      <c r="I12" s="835">
        <v>29508985</v>
      </c>
      <c r="J12" s="835">
        <v>26779353</v>
      </c>
    </row>
    <row r="13" spans="1:10" s="37" customFormat="1">
      <c r="A13" s="831">
        <v>200</v>
      </c>
      <c r="B13" s="836">
        <v>200</v>
      </c>
      <c r="C13" s="836">
        <v>300</v>
      </c>
      <c r="D13" s="839">
        <v>200</v>
      </c>
      <c r="E13" s="839"/>
      <c r="F13" s="840"/>
      <c r="G13" s="841" t="s">
        <v>4510</v>
      </c>
      <c r="H13" s="755"/>
      <c r="I13" s="835"/>
      <c r="J13" s="835"/>
    </row>
    <row r="14" spans="1:10" s="37" customFormat="1">
      <c r="A14" s="831">
        <v>200</v>
      </c>
      <c r="B14" s="836">
        <v>200</v>
      </c>
      <c r="C14" s="836">
        <v>400</v>
      </c>
      <c r="D14" s="836"/>
      <c r="E14" s="836"/>
      <c r="F14" s="837"/>
      <c r="G14" s="838" t="s">
        <v>3647</v>
      </c>
      <c r="H14" s="755" t="s">
        <v>4093</v>
      </c>
      <c r="I14" s="791"/>
      <c r="J14" s="791"/>
    </row>
    <row r="15" spans="1:10" s="37" customFormat="1">
      <c r="A15" s="831">
        <v>200</v>
      </c>
      <c r="B15" s="836">
        <v>200</v>
      </c>
      <c r="C15" s="836">
        <v>400</v>
      </c>
      <c r="D15" s="839">
        <v>100</v>
      </c>
      <c r="E15" s="839"/>
      <c r="F15" s="840"/>
      <c r="G15" s="841" t="s">
        <v>4511</v>
      </c>
      <c r="H15" s="755"/>
      <c r="I15" s="835"/>
      <c r="J15" s="835"/>
    </row>
    <row r="16" spans="1:10" s="37" customFormat="1">
      <c r="A16" s="831">
        <v>200</v>
      </c>
      <c r="B16" s="836">
        <v>200</v>
      </c>
      <c r="C16" s="836">
        <v>400</v>
      </c>
      <c r="D16" s="839">
        <v>200</v>
      </c>
      <c r="E16" s="839"/>
      <c r="F16" s="840"/>
      <c r="G16" s="841" t="s">
        <v>4512</v>
      </c>
      <c r="H16" s="755"/>
      <c r="I16" s="835">
        <v>28336</v>
      </c>
      <c r="J16" s="835">
        <v>9172</v>
      </c>
    </row>
    <row r="17" spans="1:10" s="37" customFormat="1">
      <c r="A17" s="831">
        <v>200</v>
      </c>
      <c r="B17" s="836">
        <v>200</v>
      </c>
      <c r="C17" s="839">
        <v>500</v>
      </c>
      <c r="D17" s="839"/>
      <c r="E17" s="839"/>
      <c r="F17" s="840"/>
      <c r="G17" s="796" t="s">
        <v>3648</v>
      </c>
      <c r="H17" s="755" t="s">
        <v>4095</v>
      </c>
      <c r="I17" s="835">
        <v>112426</v>
      </c>
      <c r="J17" s="835">
        <v>84037</v>
      </c>
    </row>
    <row r="18" spans="1:10" s="37" customFormat="1">
      <c r="A18" s="831">
        <v>200</v>
      </c>
      <c r="B18" s="839">
        <v>300</v>
      </c>
      <c r="C18" s="839"/>
      <c r="D18" s="839"/>
      <c r="E18" s="839"/>
      <c r="F18" s="840"/>
      <c r="G18" s="796" t="s">
        <v>4513</v>
      </c>
      <c r="H18" s="755" t="s">
        <v>4097</v>
      </c>
      <c r="I18" s="835">
        <v>4941979</v>
      </c>
      <c r="J18" s="835">
        <v>2190789</v>
      </c>
    </row>
    <row r="19" spans="1:10" s="37" customFormat="1">
      <c r="A19" s="831">
        <v>200</v>
      </c>
      <c r="B19" s="836">
        <v>400</v>
      </c>
      <c r="C19" s="836"/>
      <c r="D19" s="836"/>
      <c r="E19" s="836"/>
      <c r="F19" s="837"/>
      <c r="G19" s="838" t="s">
        <v>4514</v>
      </c>
      <c r="H19" s="755"/>
      <c r="I19" s="791"/>
      <c r="J19" s="791"/>
    </row>
    <row r="20" spans="1:10" s="37" customFormat="1">
      <c r="A20" s="831">
        <v>200</v>
      </c>
      <c r="B20" s="836">
        <v>400</v>
      </c>
      <c r="C20" s="839">
        <v>100</v>
      </c>
      <c r="D20" s="839"/>
      <c r="E20" s="839"/>
      <c r="F20" s="840"/>
      <c r="G20" s="796" t="s">
        <v>4515</v>
      </c>
      <c r="H20" s="755" t="s">
        <v>4101</v>
      </c>
      <c r="I20" s="835"/>
      <c r="J20" s="835"/>
    </row>
    <row r="21" spans="1:10" s="37" customFormat="1">
      <c r="A21" s="831">
        <v>200</v>
      </c>
      <c r="B21" s="836">
        <v>400</v>
      </c>
      <c r="C21" s="839">
        <v>200</v>
      </c>
      <c r="D21" s="839"/>
      <c r="E21" s="839"/>
      <c r="F21" s="840"/>
      <c r="G21" s="796" t="s">
        <v>4516</v>
      </c>
      <c r="H21" s="755" t="s">
        <v>4103</v>
      </c>
      <c r="I21" s="835">
        <v>654168</v>
      </c>
      <c r="J21" s="835">
        <v>667664</v>
      </c>
    </row>
    <row r="22" spans="1:10" s="37" customFormat="1">
      <c r="A22" s="831">
        <v>200</v>
      </c>
      <c r="B22" s="836">
        <v>400</v>
      </c>
      <c r="C22" s="839">
        <v>300</v>
      </c>
      <c r="D22" s="839"/>
      <c r="E22" s="839"/>
      <c r="F22" s="840"/>
      <c r="G22" s="796" t="s">
        <v>4517</v>
      </c>
      <c r="H22" s="755" t="s">
        <v>4105</v>
      </c>
      <c r="I22" s="835">
        <v>366049</v>
      </c>
      <c r="J22" s="835">
        <v>367675</v>
      </c>
    </row>
    <row r="23" spans="1:10" s="37" customFormat="1">
      <c r="A23" s="831">
        <v>200</v>
      </c>
      <c r="B23" s="836">
        <v>400</v>
      </c>
      <c r="C23" s="839">
        <v>400</v>
      </c>
      <c r="D23" s="839"/>
      <c r="E23" s="839"/>
      <c r="F23" s="840"/>
      <c r="G23" s="796" t="s">
        <v>4518</v>
      </c>
      <c r="H23" s="755" t="s">
        <v>4107</v>
      </c>
      <c r="I23" s="835">
        <v>193503</v>
      </c>
      <c r="J23" s="835">
        <v>85387</v>
      </c>
    </row>
    <row r="24" spans="1:10" s="37" customFormat="1">
      <c r="A24" s="831">
        <v>200</v>
      </c>
      <c r="B24" s="836">
        <v>400</v>
      </c>
      <c r="C24" s="839">
        <v>500</v>
      </c>
      <c r="D24" s="839"/>
      <c r="E24" s="839"/>
      <c r="F24" s="840"/>
      <c r="G24" s="796" t="s">
        <v>4519</v>
      </c>
      <c r="H24" s="755" t="s">
        <v>4109</v>
      </c>
      <c r="I24" s="835">
        <v>1714263</v>
      </c>
      <c r="J24" s="835">
        <v>1984861</v>
      </c>
    </row>
    <row r="25" spans="1:10" s="37" customFormat="1">
      <c r="A25" s="831">
        <v>200</v>
      </c>
      <c r="B25" s="836">
        <v>500</v>
      </c>
      <c r="C25" s="836"/>
      <c r="D25" s="836"/>
      <c r="E25" s="836"/>
      <c r="F25" s="837"/>
      <c r="G25" s="838" t="s">
        <v>4520</v>
      </c>
      <c r="H25" s="755"/>
      <c r="I25" s="791"/>
      <c r="J25" s="791"/>
    </row>
    <row r="26" spans="1:10" s="37" customFormat="1">
      <c r="A26" s="831">
        <v>200</v>
      </c>
      <c r="B26" s="836">
        <v>500</v>
      </c>
      <c r="C26" s="839">
        <v>100</v>
      </c>
      <c r="D26" s="839"/>
      <c r="E26" s="839"/>
      <c r="F26" s="840"/>
      <c r="G26" s="796" t="s">
        <v>4521</v>
      </c>
      <c r="H26" s="755" t="s">
        <v>4113</v>
      </c>
      <c r="I26" s="835"/>
      <c r="J26" s="835"/>
    </row>
    <row r="27" spans="1:10" s="37" customFormat="1">
      <c r="A27" s="831">
        <v>200</v>
      </c>
      <c r="B27" s="836">
        <v>500</v>
      </c>
      <c r="C27" s="839">
        <v>200</v>
      </c>
      <c r="D27" s="839"/>
      <c r="E27" s="839"/>
      <c r="F27" s="840"/>
      <c r="G27" s="796" t="s">
        <v>4522</v>
      </c>
      <c r="H27" s="755" t="s">
        <v>4115</v>
      </c>
      <c r="I27" s="835"/>
      <c r="J27" s="835"/>
    </row>
    <row r="28" spans="1:10" s="37" customFormat="1">
      <c r="A28" s="831">
        <v>200</v>
      </c>
      <c r="B28" s="836">
        <v>500</v>
      </c>
      <c r="C28" s="839">
        <v>300</v>
      </c>
      <c r="D28" s="839"/>
      <c r="E28" s="839"/>
      <c r="F28" s="840"/>
      <c r="G28" s="796" t="s">
        <v>4523</v>
      </c>
      <c r="H28" s="755" t="s">
        <v>4117</v>
      </c>
      <c r="I28" s="835"/>
      <c r="J28" s="835"/>
    </row>
    <row r="29" spans="1:10" s="37" customFormat="1">
      <c r="A29" s="831">
        <v>200</v>
      </c>
      <c r="B29" s="839">
        <v>600</v>
      </c>
      <c r="C29" s="839"/>
      <c r="D29" s="839"/>
      <c r="E29" s="839"/>
      <c r="F29" s="840"/>
      <c r="G29" s="796" t="s">
        <v>4524</v>
      </c>
      <c r="H29" s="755" t="s">
        <v>4119</v>
      </c>
      <c r="I29" s="835"/>
      <c r="J29" s="835"/>
    </row>
    <row r="30" spans="1:10" s="37" customFormat="1">
      <c r="A30" s="842">
        <v>200</v>
      </c>
      <c r="B30" s="843">
        <v>700</v>
      </c>
      <c r="C30" s="843"/>
      <c r="D30" s="843"/>
      <c r="E30" s="843"/>
      <c r="F30" s="844"/>
      <c r="G30" s="845" t="s">
        <v>4525</v>
      </c>
      <c r="H30" s="773" t="s">
        <v>4121</v>
      </c>
      <c r="I30" s="835">
        <v>15600</v>
      </c>
      <c r="J30" s="835">
        <v>147116</v>
      </c>
    </row>
    <row r="31" spans="1:10" s="749" customFormat="1">
      <c r="A31" s="846">
        <v>210</v>
      </c>
      <c r="B31" s="847">
        <v>0</v>
      </c>
      <c r="C31" s="847">
        <v>0</v>
      </c>
      <c r="D31" s="847">
        <v>0</v>
      </c>
      <c r="E31" s="847">
        <v>0</v>
      </c>
      <c r="F31" s="848">
        <v>0</v>
      </c>
      <c r="G31" s="849" t="s">
        <v>4526</v>
      </c>
      <c r="H31" s="778"/>
      <c r="I31" s="850"/>
      <c r="J31" s="850"/>
    </row>
    <row r="32" spans="1:10" s="37" customFormat="1">
      <c r="A32" s="831">
        <v>210</v>
      </c>
      <c r="B32" s="836">
        <v>100</v>
      </c>
      <c r="C32" s="836"/>
      <c r="D32" s="836"/>
      <c r="E32" s="836"/>
      <c r="F32" s="837"/>
      <c r="G32" s="851" t="s">
        <v>4527</v>
      </c>
      <c r="H32" s="755"/>
      <c r="I32" s="791"/>
      <c r="J32" s="791"/>
    </row>
    <row r="33" spans="1:10" s="37" customFormat="1">
      <c r="A33" s="831">
        <v>210</v>
      </c>
      <c r="B33" s="836">
        <v>100</v>
      </c>
      <c r="C33" s="839">
        <v>100</v>
      </c>
      <c r="D33" s="839"/>
      <c r="E33" s="839"/>
      <c r="F33" s="840"/>
      <c r="G33" s="841" t="s">
        <v>4528</v>
      </c>
      <c r="H33" s="755" t="s">
        <v>3714</v>
      </c>
      <c r="I33" s="835"/>
      <c r="J33" s="835"/>
    </row>
    <row r="34" spans="1:10" s="37" customFormat="1">
      <c r="A34" s="831">
        <v>210</v>
      </c>
      <c r="B34" s="836">
        <v>100</v>
      </c>
      <c r="C34" s="839">
        <v>200</v>
      </c>
      <c r="D34" s="839"/>
      <c r="E34" s="839"/>
      <c r="F34" s="840"/>
      <c r="G34" s="841" t="s">
        <v>4529</v>
      </c>
      <c r="H34" s="755" t="s">
        <v>3720</v>
      </c>
      <c r="I34" s="835"/>
      <c r="J34" s="835"/>
    </row>
    <row r="35" spans="1:10" s="37" customFormat="1" ht="25.5">
      <c r="A35" s="831">
        <v>210</v>
      </c>
      <c r="B35" s="836">
        <v>100</v>
      </c>
      <c r="C35" s="839">
        <v>300</v>
      </c>
      <c r="D35" s="839"/>
      <c r="E35" s="839"/>
      <c r="F35" s="840"/>
      <c r="G35" s="841" t="s">
        <v>4530</v>
      </c>
      <c r="H35" s="755" t="s">
        <v>3726</v>
      </c>
      <c r="I35" s="835"/>
      <c r="J35" s="835"/>
    </row>
    <row r="36" spans="1:10" s="37" customFormat="1" ht="25.5">
      <c r="A36" s="831">
        <v>210</v>
      </c>
      <c r="B36" s="836">
        <v>100</v>
      </c>
      <c r="C36" s="839">
        <v>400</v>
      </c>
      <c r="D36" s="839"/>
      <c r="E36" s="839"/>
      <c r="F36" s="840"/>
      <c r="G36" s="841" t="s">
        <v>4531</v>
      </c>
      <c r="H36" s="755" t="s">
        <v>3730</v>
      </c>
      <c r="I36" s="835"/>
      <c r="J36" s="835"/>
    </row>
    <row r="37" spans="1:10" s="37" customFormat="1">
      <c r="A37" s="831">
        <v>210</v>
      </c>
      <c r="B37" s="836">
        <v>100</v>
      </c>
      <c r="C37" s="839">
        <v>500</v>
      </c>
      <c r="D37" s="839"/>
      <c r="E37" s="839"/>
      <c r="F37" s="840"/>
      <c r="G37" s="841" t="s">
        <v>4532</v>
      </c>
      <c r="H37" s="755" t="s">
        <v>3738</v>
      </c>
      <c r="I37" s="835">
        <v>276407</v>
      </c>
      <c r="J37" s="835">
        <v>261893</v>
      </c>
    </row>
    <row r="38" spans="1:10" s="37" customFormat="1">
      <c r="A38" s="831">
        <v>210</v>
      </c>
      <c r="B38" s="836">
        <v>100</v>
      </c>
      <c r="C38" s="839">
        <v>600</v>
      </c>
      <c r="D38" s="839"/>
      <c r="E38" s="839"/>
      <c r="F38" s="840"/>
      <c r="G38" s="841" t="s">
        <v>4533</v>
      </c>
      <c r="H38" s="755" t="s">
        <v>3742</v>
      </c>
      <c r="I38" s="835">
        <v>39838</v>
      </c>
      <c r="J38" s="835">
        <v>39838</v>
      </c>
    </row>
    <row r="39" spans="1:10" s="37" customFormat="1">
      <c r="A39" s="831">
        <v>210</v>
      </c>
      <c r="B39" s="836">
        <v>100</v>
      </c>
      <c r="C39" s="839">
        <v>700</v>
      </c>
      <c r="D39" s="839"/>
      <c r="E39" s="839"/>
      <c r="F39" s="840"/>
      <c r="G39" s="841" t="s">
        <v>4534</v>
      </c>
      <c r="H39" s="755" t="s">
        <v>3746</v>
      </c>
      <c r="I39" s="835"/>
      <c r="J39" s="835"/>
    </row>
    <row r="40" spans="1:10" s="37" customFormat="1">
      <c r="A40" s="831">
        <v>210</v>
      </c>
      <c r="B40" s="836">
        <v>100</v>
      </c>
      <c r="C40" s="839">
        <v>800</v>
      </c>
      <c r="D40" s="839"/>
      <c r="E40" s="839"/>
      <c r="F40" s="840"/>
      <c r="G40" s="841" t="s">
        <v>4535</v>
      </c>
      <c r="H40" s="755" t="s">
        <v>3750</v>
      </c>
      <c r="I40" s="835"/>
      <c r="J40" s="835"/>
    </row>
    <row r="41" spans="1:10" s="37" customFormat="1">
      <c r="A41" s="831">
        <v>210</v>
      </c>
      <c r="B41" s="836">
        <v>200</v>
      </c>
      <c r="C41" s="836"/>
      <c r="D41" s="836"/>
      <c r="E41" s="836"/>
      <c r="F41" s="837"/>
      <c r="G41" s="851" t="s">
        <v>4536</v>
      </c>
      <c r="H41" s="852"/>
      <c r="I41" s="853"/>
      <c r="J41" s="853"/>
    </row>
    <row r="42" spans="1:10" s="37" customFormat="1">
      <c r="A42" s="831">
        <v>210</v>
      </c>
      <c r="B42" s="836">
        <v>200</v>
      </c>
      <c r="C42" s="839">
        <v>100</v>
      </c>
      <c r="D42" s="839"/>
      <c r="E42" s="839"/>
      <c r="F42" s="840"/>
      <c r="G42" s="841" t="s">
        <v>4537</v>
      </c>
      <c r="H42" s="755" t="s">
        <v>3776</v>
      </c>
      <c r="I42" s="835">
        <v>313168</v>
      </c>
      <c r="J42" s="835">
        <v>265312</v>
      </c>
    </row>
    <row r="43" spans="1:10" s="37" customFormat="1">
      <c r="A43" s="831">
        <v>210</v>
      </c>
      <c r="B43" s="836">
        <v>200</v>
      </c>
      <c r="C43" s="839">
        <v>200</v>
      </c>
      <c r="D43" s="839"/>
      <c r="E43" s="839"/>
      <c r="F43" s="840"/>
      <c r="G43" s="841" t="s">
        <v>4538</v>
      </c>
      <c r="H43" s="755" t="s">
        <v>3782</v>
      </c>
      <c r="I43" s="835">
        <v>14421999</v>
      </c>
      <c r="J43" s="835">
        <v>13210187</v>
      </c>
    </row>
    <row r="44" spans="1:10" s="37" customFormat="1">
      <c r="A44" s="831">
        <v>210</v>
      </c>
      <c r="B44" s="836">
        <v>200</v>
      </c>
      <c r="C44" s="839">
        <v>300</v>
      </c>
      <c r="D44" s="839"/>
      <c r="E44" s="839"/>
      <c r="F44" s="840"/>
      <c r="G44" s="841" t="s">
        <v>4539</v>
      </c>
      <c r="H44" s="755" t="s">
        <v>3788</v>
      </c>
      <c r="I44" s="835">
        <v>3175091</v>
      </c>
      <c r="J44" s="835">
        <v>3142454</v>
      </c>
    </row>
    <row r="45" spans="1:10" s="37" customFormat="1">
      <c r="A45" s="831">
        <v>210</v>
      </c>
      <c r="B45" s="836">
        <v>200</v>
      </c>
      <c r="C45" s="839">
        <v>400</v>
      </c>
      <c r="D45" s="839"/>
      <c r="E45" s="839"/>
      <c r="F45" s="840"/>
      <c r="G45" s="841" t="s">
        <v>4540</v>
      </c>
      <c r="H45" s="755" t="s">
        <v>3794</v>
      </c>
      <c r="I45" s="835">
        <v>25633442</v>
      </c>
      <c r="J45" s="835">
        <v>27380922</v>
      </c>
    </row>
    <row r="46" spans="1:10" s="37" customFormat="1">
      <c r="A46" s="831">
        <v>210</v>
      </c>
      <c r="B46" s="836">
        <v>200</v>
      </c>
      <c r="C46" s="839">
        <v>500</v>
      </c>
      <c r="D46" s="839"/>
      <c r="E46" s="839"/>
      <c r="F46" s="840"/>
      <c r="G46" s="841" t="s">
        <v>4541</v>
      </c>
      <c r="H46" s="755" t="s">
        <v>3800</v>
      </c>
      <c r="I46" s="835">
        <v>2466991</v>
      </c>
      <c r="J46" s="835">
        <v>2324182</v>
      </c>
    </row>
    <row r="47" spans="1:10" s="37" customFormat="1">
      <c r="A47" s="831">
        <v>210</v>
      </c>
      <c r="B47" s="836">
        <v>200</v>
      </c>
      <c r="C47" s="839">
        <v>600</v>
      </c>
      <c r="D47" s="839"/>
      <c r="E47" s="839"/>
      <c r="F47" s="840"/>
      <c r="G47" s="841" t="s">
        <v>4542</v>
      </c>
      <c r="H47" s="755" t="s">
        <v>3806</v>
      </c>
      <c r="I47" s="835">
        <v>132400</v>
      </c>
      <c r="J47" s="835">
        <v>129025</v>
      </c>
    </row>
    <row r="48" spans="1:10" s="37" customFormat="1">
      <c r="A48" s="831">
        <v>210</v>
      </c>
      <c r="B48" s="836">
        <v>200</v>
      </c>
      <c r="C48" s="839">
        <v>700</v>
      </c>
      <c r="D48" s="839"/>
      <c r="E48" s="839"/>
      <c r="F48" s="840"/>
      <c r="G48" s="841" t="s">
        <v>4543</v>
      </c>
      <c r="H48" s="755" t="s">
        <v>3814</v>
      </c>
      <c r="I48" s="835">
        <v>5349237</v>
      </c>
      <c r="J48" s="835">
        <v>5135017</v>
      </c>
    </row>
    <row r="49" spans="1:10" s="37" customFormat="1">
      <c r="A49" s="831">
        <v>210</v>
      </c>
      <c r="B49" s="836">
        <v>300</v>
      </c>
      <c r="C49" s="836"/>
      <c r="D49" s="836"/>
      <c r="E49" s="836"/>
      <c r="F49" s="837"/>
      <c r="G49" s="851" t="s">
        <v>4544</v>
      </c>
      <c r="H49" s="755"/>
      <c r="I49" s="791"/>
      <c r="J49" s="791"/>
    </row>
    <row r="50" spans="1:10" s="37" customFormat="1">
      <c r="A50" s="831">
        <v>210</v>
      </c>
      <c r="B50" s="836">
        <v>300</v>
      </c>
      <c r="C50" s="839">
        <v>100</v>
      </c>
      <c r="D50" s="839"/>
      <c r="E50" s="839"/>
      <c r="F50" s="840"/>
      <c r="G50" s="841" t="s">
        <v>4545</v>
      </c>
      <c r="H50" s="755" t="s">
        <v>3754</v>
      </c>
      <c r="I50" s="835"/>
      <c r="J50" s="835"/>
    </row>
    <row r="51" spans="1:10" s="37" customFormat="1">
      <c r="A51" s="831">
        <v>210</v>
      </c>
      <c r="B51" s="836">
        <v>300</v>
      </c>
      <c r="C51" s="839">
        <v>200</v>
      </c>
      <c r="D51" s="839"/>
      <c r="E51" s="839"/>
      <c r="F51" s="840"/>
      <c r="G51" s="841" t="s">
        <v>4546</v>
      </c>
      <c r="H51" s="755" t="s">
        <v>3756</v>
      </c>
      <c r="I51" s="835"/>
      <c r="J51" s="835"/>
    </row>
    <row r="52" spans="1:10" s="37" customFormat="1" ht="25.5">
      <c r="A52" s="831">
        <v>210</v>
      </c>
      <c r="B52" s="836">
        <v>300</v>
      </c>
      <c r="C52" s="839">
        <v>300</v>
      </c>
      <c r="D52" s="839"/>
      <c r="E52" s="839"/>
      <c r="F52" s="840"/>
      <c r="G52" s="841" t="s">
        <v>4547</v>
      </c>
      <c r="H52" s="755" t="s">
        <v>3758</v>
      </c>
      <c r="I52" s="835"/>
      <c r="J52" s="835"/>
    </row>
    <row r="53" spans="1:10" s="37" customFormat="1">
      <c r="A53" s="831">
        <v>210</v>
      </c>
      <c r="B53" s="836">
        <v>300</v>
      </c>
      <c r="C53" s="839">
        <v>400</v>
      </c>
      <c r="D53" s="839"/>
      <c r="E53" s="839"/>
      <c r="F53" s="840"/>
      <c r="G53" s="841" t="s">
        <v>4548</v>
      </c>
      <c r="H53" s="755" t="s">
        <v>3760</v>
      </c>
      <c r="I53" s="835"/>
      <c r="J53" s="835"/>
    </row>
    <row r="54" spans="1:10" s="37" customFormat="1">
      <c r="A54" s="831">
        <v>210</v>
      </c>
      <c r="B54" s="836">
        <v>400</v>
      </c>
      <c r="C54" s="836"/>
      <c r="D54" s="836"/>
      <c r="E54" s="836"/>
      <c r="F54" s="837"/>
      <c r="G54" s="851" t="s">
        <v>4549</v>
      </c>
      <c r="H54" s="852"/>
      <c r="I54" s="853"/>
      <c r="J54" s="853"/>
    </row>
    <row r="55" spans="1:10" s="37" customFormat="1">
      <c r="A55" s="831">
        <v>210</v>
      </c>
      <c r="B55" s="836">
        <v>400</v>
      </c>
      <c r="C55" s="839">
        <v>50</v>
      </c>
      <c r="D55" s="839"/>
      <c r="E55" s="839"/>
      <c r="F55" s="840"/>
      <c r="G55" s="841" t="s">
        <v>4550</v>
      </c>
      <c r="H55" s="755" t="s">
        <v>3820</v>
      </c>
      <c r="I55" s="835"/>
      <c r="J55" s="835"/>
    </row>
    <row r="56" spans="1:10" s="37" customFormat="1">
      <c r="A56" s="831">
        <v>210</v>
      </c>
      <c r="B56" s="836">
        <v>400</v>
      </c>
      <c r="C56" s="839">
        <v>100</v>
      </c>
      <c r="D56" s="839"/>
      <c r="E56" s="839"/>
      <c r="F56" s="840"/>
      <c r="G56" s="841" t="s">
        <v>4551</v>
      </c>
      <c r="H56" s="755" t="s">
        <v>3820</v>
      </c>
      <c r="I56" s="835"/>
      <c r="J56" s="835"/>
    </row>
    <row r="57" spans="1:10" s="37" customFormat="1">
      <c r="A57" s="831">
        <v>210</v>
      </c>
      <c r="B57" s="836">
        <v>400</v>
      </c>
      <c r="C57" s="839">
        <v>150</v>
      </c>
      <c r="D57" s="839"/>
      <c r="E57" s="839"/>
      <c r="F57" s="840"/>
      <c r="G57" s="841" t="s">
        <v>4552</v>
      </c>
      <c r="H57" s="755" t="s">
        <v>3822</v>
      </c>
      <c r="I57" s="835"/>
      <c r="J57" s="835"/>
    </row>
    <row r="58" spans="1:10" s="37" customFormat="1">
      <c r="A58" s="831">
        <v>210</v>
      </c>
      <c r="B58" s="836">
        <v>400</v>
      </c>
      <c r="C58" s="839">
        <v>200</v>
      </c>
      <c r="D58" s="839"/>
      <c r="E58" s="839"/>
      <c r="F58" s="840"/>
      <c r="G58" s="841" t="s">
        <v>4553</v>
      </c>
      <c r="H58" s="755" t="s">
        <v>3820</v>
      </c>
      <c r="I58" s="835"/>
      <c r="J58" s="835"/>
    </row>
    <row r="59" spans="1:10" s="37" customFormat="1">
      <c r="A59" s="831">
        <v>210</v>
      </c>
      <c r="B59" s="836">
        <v>400</v>
      </c>
      <c r="C59" s="839">
        <v>300</v>
      </c>
      <c r="D59" s="839"/>
      <c r="E59" s="839"/>
      <c r="F59" s="840"/>
      <c r="G59" s="841" t="s">
        <v>4554</v>
      </c>
      <c r="H59" s="755" t="s">
        <v>3824</v>
      </c>
      <c r="I59" s="835"/>
      <c r="J59" s="835"/>
    </row>
    <row r="60" spans="1:10" s="37" customFormat="1">
      <c r="A60" s="831">
        <v>210</v>
      </c>
      <c r="B60" s="836">
        <v>400</v>
      </c>
      <c r="C60" s="839">
        <v>400</v>
      </c>
      <c r="D60" s="839"/>
      <c r="E60" s="839"/>
      <c r="F60" s="840"/>
      <c r="G60" s="841" t="s">
        <v>4555</v>
      </c>
      <c r="H60" s="755" t="s">
        <v>3826</v>
      </c>
      <c r="I60" s="835"/>
      <c r="J60" s="835"/>
    </row>
    <row r="61" spans="1:10" s="37" customFormat="1">
      <c r="A61" s="831">
        <v>210</v>
      </c>
      <c r="B61" s="836">
        <v>400</v>
      </c>
      <c r="C61" s="839">
        <v>500</v>
      </c>
      <c r="D61" s="839"/>
      <c r="E61" s="839"/>
      <c r="F61" s="840"/>
      <c r="G61" s="841" t="s">
        <v>4556</v>
      </c>
      <c r="H61" s="755" t="s">
        <v>3828</v>
      </c>
      <c r="I61" s="835"/>
      <c r="J61" s="835"/>
    </row>
    <row r="62" spans="1:10" s="37" customFormat="1">
      <c r="A62" s="831">
        <v>210</v>
      </c>
      <c r="B62" s="836">
        <v>400</v>
      </c>
      <c r="C62" s="839">
        <v>600</v>
      </c>
      <c r="D62" s="839"/>
      <c r="E62" s="839"/>
      <c r="F62" s="840"/>
      <c r="G62" s="841" t="s">
        <v>4557</v>
      </c>
      <c r="H62" s="755" t="s">
        <v>3830</v>
      </c>
      <c r="I62" s="835"/>
      <c r="J62" s="835"/>
    </row>
    <row r="63" spans="1:10" s="37" customFormat="1">
      <c r="A63" s="831">
        <v>210</v>
      </c>
      <c r="B63" s="836">
        <v>400</v>
      </c>
      <c r="C63" s="839">
        <v>700</v>
      </c>
      <c r="D63" s="839"/>
      <c r="E63" s="839"/>
      <c r="F63" s="840"/>
      <c r="G63" s="841" t="s">
        <v>4558</v>
      </c>
      <c r="H63" s="755" t="s">
        <v>3832</v>
      </c>
      <c r="I63" s="835"/>
      <c r="J63" s="835"/>
    </row>
    <row r="64" spans="1:10" s="37" customFormat="1">
      <c r="A64" s="831">
        <v>210</v>
      </c>
      <c r="B64" s="836">
        <v>400</v>
      </c>
      <c r="C64" s="839">
        <v>800</v>
      </c>
      <c r="D64" s="839"/>
      <c r="E64" s="839"/>
      <c r="F64" s="840"/>
      <c r="G64" s="841" t="s">
        <v>4559</v>
      </c>
      <c r="H64" s="755" t="s">
        <v>3834</v>
      </c>
      <c r="I64" s="835"/>
      <c r="J64" s="835"/>
    </row>
    <row r="65" spans="1:10" s="37" customFormat="1">
      <c r="A65" s="831">
        <v>210</v>
      </c>
      <c r="B65" s="836">
        <v>500</v>
      </c>
      <c r="C65" s="836"/>
      <c r="D65" s="836"/>
      <c r="E65" s="836"/>
      <c r="F65" s="837"/>
      <c r="G65" s="851" t="s">
        <v>4560</v>
      </c>
      <c r="H65" s="792"/>
      <c r="I65" s="793"/>
      <c r="J65" s="793"/>
    </row>
    <row r="66" spans="1:10" s="37" customFormat="1">
      <c r="A66" s="831">
        <v>210</v>
      </c>
      <c r="B66" s="836">
        <v>500</v>
      </c>
      <c r="C66" s="839">
        <v>100</v>
      </c>
      <c r="D66" s="839"/>
      <c r="E66" s="839"/>
      <c r="F66" s="840"/>
      <c r="G66" s="796" t="s">
        <v>4561</v>
      </c>
      <c r="H66" s="792" t="s">
        <v>3840</v>
      </c>
      <c r="I66" s="835"/>
      <c r="J66" s="835"/>
    </row>
    <row r="67" spans="1:10" s="37" customFormat="1">
      <c r="A67" s="831">
        <v>210</v>
      </c>
      <c r="B67" s="836">
        <v>500</v>
      </c>
      <c r="C67" s="839">
        <v>101</v>
      </c>
      <c r="D67" s="839"/>
      <c r="E67" s="839"/>
      <c r="F67" s="840"/>
      <c r="G67" s="796" t="s">
        <v>4562</v>
      </c>
      <c r="H67" s="792" t="s">
        <v>3842</v>
      </c>
      <c r="I67" s="835"/>
      <c r="J67" s="835"/>
    </row>
    <row r="68" spans="1:10" s="37" customFormat="1">
      <c r="A68" s="831">
        <v>210</v>
      </c>
      <c r="B68" s="836">
        <v>500</v>
      </c>
      <c r="C68" s="839">
        <v>102</v>
      </c>
      <c r="D68" s="839"/>
      <c r="E68" s="839"/>
      <c r="F68" s="840"/>
      <c r="G68" s="796" t="s">
        <v>4563</v>
      </c>
      <c r="H68" s="792" t="s">
        <v>3844</v>
      </c>
      <c r="I68" s="835"/>
      <c r="J68" s="835"/>
    </row>
    <row r="69" spans="1:10" s="37" customFormat="1">
      <c r="A69" s="831">
        <v>210</v>
      </c>
      <c r="B69" s="836">
        <v>500</v>
      </c>
      <c r="C69" s="839">
        <v>103</v>
      </c>
      <c r="D69" s="839"/>
      <c r="E69" s="839"/>
      <c r="F69" s="840"/>
      <c r="G69" s="796" t="s">
        <v>4564</v>
      </c>
      <c r="H69" s="792" t="s">
        <v>3846</v>
      </c>
      <c r="I69" s="835"/>
      <c r="J69" s="835"/>
    </row>
    <row r="70" spans="1:10" s="37" customFormat="1">
      <c r="A70" s="831">
        <v>210</v>
      </c>
      <c r="B70" s="836">
        <v>500</v>
      </c>
      <c r="C70" s="839">
        <v>200</v>
      </c>
      <c r="D70" s="839"/>
      <c r="E70" s="839"/>
      <c r="F70" s="840"/>
      <c r="G70" s="796" t="s">
        <v>4565</v>
      </c>
      <c r="H70" s="792" t="s">
        <v>3906</v>
      </c>
      <c r="I70" s="835"/>
      <c r="J70" s="835"/>
    </row>
    <row r="71" spans="1:10" s="37" customFormat="1">
      <c r="A71" s="831">
        <v>210</v>
      </c>
      <c r="B71" s="836">
        <v>500</v>
      </c>
      <c r="C71" s="839">
        <v>201</v>
      </c>
      <c r="D71" s="839"/>
      <c r="E71" s="839"/>
      <c r="F71" s="840"/>
      <c r="G71" s="796" t="s">
        <v>4566</v>
      </c>
      <c r="H71" s="792" t="s">
        <v>3908</v>
      </c>
      <c r="I71" s="835"/>
      <c r="J71" s="835"/>
    </row>
    <row r="72" spans="1:10" s="37" customFormat="1">
      <c r="A72" s="831">
        <v>210</v>
      </c>
      <c r="B72" s="836">
        <v>500</v>
      </c>
      <c r="C72" s="839">
        <v>202</v>
      </c>
      <c r="D72" s="839"/>
      <c r="E72" s="839"/>
      <c r="F72" s="840"/>
      <c r="G72" s="796" t="s">
        <v>4567</v>
      </c>
      <c r="H72" s="792" t="s">
        <v>3910</v>
      </c>
      <c r="I72" s="835"/>
      <c r="J72" s="835"/>
    </row>
    <row r="73" spans="1:10" s="37" customFormat="1">
      <c r="A73" s="831">
        <v>210</v>
      </c>
      <c r="B73" s="836">
        <v>500</v>
      </c>
      <c r="C73" s="839">
        <v>203</v>
      </c>
      <c r="D73" s="839"/>
      <c r="E73" s="839"/>
      <c r="F73" s="840"/>
      <c r="G73" s="796" t="s">
        <v>4568</v>
      </c>
      <c r="H73" s="792" t="s">
        <v>3912</v>
      </c>
      <c r="I73" s="835"/>
      <c r="J73" s="835"/>
    </row>
    <row r="74" spans="1:10" s="37" customFormat="1" ht="25.5">
      <c r="A74" s="831">
        <v>210</v>
      </c>
      <c r="B74" s="836">
        <v>500</v>
      </c>
      <c r="C74" s="839">
        <v>204</v>
      </c>
      <c r="D74" s="839"/>
      <c r="E74" s="839"/>
      <c r="F74" s="840"/>
      <c r="G74" s="796" t="s">
        <v>4569</v>
      </c>
      <c r="H74" s="792" t="s">
        <v>3914</v>
      </c>
      <c r="I74" s="835"/>
      <c r="J74" s="835"/>
    </row>
    <row r="75" spans="1:10" s="37" customFormat="1" ht="25.5">
      <c r="A75" s="831">
        <v>210</v>
      </c>
      <c r="B75" s="836">
        <v>500</v>
      </c>
      <c r="C75" s="839">
        <v>205</v>
      </c>
      <c r="D75" s="839"/>
      <c r="E75" s="839"/>
      <c r="F75" s="840"/>
      <c r="G75" s="796" t="s">
        <v>4570</v>
      </c>
      <c r="H75" s="792" t="s">
        <v>3916</v>
      </c>
      <c r="I75" s="835"/>
      <c r="J75" s="835"/>
    </row>
    <row r="76" spans="1:10" s="37" customFormat="1">
      <c r="A76" s="831">
        <v>210</v>
      </c>
      <c r="B76" s="836">
        <v>500</v>
      </c>
      <c r="C76" s="839">
        <v>206</v>
      </c>
      <c r="D76" s="839"/>
      <c r="E76" s="839"/>
      <c r="F76" s="840"/>
      <c r="G76" s="796" t="s">
        <v>4571</v>
      </c>
      <c r="H76" s="792" t="s">
        <v>3918</v>
      </c>
      <c r="I76" s="835"/>
      <c r="J76" s="835"/>
    </row>
    <row r="77" spans="1:10" s="37" customFormat="1" ht="25.5">
      <c r="A77" s="831">
        <v>210</v>
      </c>
      <c r="B77" s="836">
        <v>500</v>
      </c>
      <c r="C77" s="839">
        <v>212</v>
      </c>
      <c r="D77" s="839"/>
      <c r="E77" s="839"/>
      <c r="F77" s="840"/>
      <c r="G77" s="796" t="s">
        <v>4572</v>
      </c>
      <c r="H77" s="792" t="s">
        <v>3920</v>
      </c>
      <c r="I77" s="835"/>
      <c r="J77" s="835"/>
    </row>
    <row r="78" spans="1:10" s="37" customFormat="1">
      <c r="A78" s="831">
        <v>210</v>
      </c>
      <c r="B78" s="836">
        <v>500</v>
      </c>
      <c r="C78" s="839">
        <v>207</v>
      </c>
      <c r="D78" s="839"/>
      <c r="E78" s="839"/>
      <c r="F78" s="840"/>
      <c r="G78" s="796" t="s">
        <v>4573</v>
      </c>
      <c r="H78" s="792" t="s">
        <v>3922</v>
      </c>
      <c r="I78" s="835"/>
      <c r="J78" s="835"/>
    </row>
    <row r="79" spans="1:10" s="37" customFormat="1" ht="25.5">
      <c r="A79" s="831">
        <v>210</v>
      </c>
      <c r="B79" s="836">
        <v>500</v>
      </c>
      <c r="C79" s="839">
        <v>208</v>
      </c>
      <c r="D79" s="839"/>
      <c r="E79" s="839"/>
      <c r="F79" s="840"/>
      <c r="G79" s="796" t="s">
        <v>4574</v>
      </c>
      <c r="H79" s="792" t="s">
        <v>3926</v>
      </c>
      <c r="I79" s="835"/>
      <c r="J79" s="835"/>
    </row>
    <row r="80" spans="1:10" s="37" customFormat="1" ht="25.5">
      <c r="A80" s="831">
        <v>210</v>
      </c>
      <c r="B80" s="836">
        <v>500</v>
      </c>
      <c r="C80" s="839">
        <v>209</v>
      </c>
      <c r="D80" s="839"/>
      <c r="E80" s="839"/>
      <c r="F80" s="840"/>
      <c r="G80" s="796" t="s">
        <v>4575</v>
      </c>
      <c r="H80" s="792" t="s">
        <v>3928</v>
      </c>
      <c r="I80" s="835"/>
      <c r="J80" s="835"/>
    </row>
    <row r="81" spans="1:10" s="37" customFormat="1" ht="25.5">
      <c r="A81" s="831">
        <v>210</v>
      </c>
      <c r="B81" s="836">
        <v>500</v>
      </c>
      <c r="C81" s="839">
        <v>210</v>
      </c>
      <c r="D81" s="839"/>
      <c r="E81" s="839"/>
      <c r="F81" s="840"/>
      <c r="G81" s="796" t="s">
        <v>4576</v>
      </c>
      <c r="H81" s="792" t="s">
        <v>3930</v>
      </c>
      <c r="I81" s="835"/>
      <c r="J81" s="835"/>
    </row>
    <row r="82" spans="1:10" s="37" customFormat="1" ht="25.5">
      <c r="A82" s="831">
        <v>210</v>
      </c>
      <c r="B82" s="836">
        <v>500</v>
      </c>
      <c r="C82" s="839">
        <v>211</v>
      </c>
      <c r="D82" s="839"/>
      <c r="E82" s="839"/>
      <c r="F82" s="840"/>
      <c r="G82" s="796" t="s">
        <v>4577</v>
      </c>
      <c r="H82" s="792" t="s">
        <v>3932</v>
      </c>
      <c r="I82" s="835"/>
      <c r="J82" s="835"/>
    </row>
    <row r="83" spans="1:10" s="37" customFormat="1">
      <c r="A83" s="831">
        <v>210</v>
      </c>
      <c r="B83" s="836">
        <v>500</v>
      </c>
      <c r="C83" s="839">
        <v>300</v>
      </c>
      <c r="D83" s="839"/>
      <c r="E83" s="839"/>
      <c r="F83" s="840"/>
      <c r="G83" s="796" t="s">
        <v>4578</v>
      </c>
      <c r="H83" s="792" t="s">
        <v>3934</v>
      </c>
      <c r="I83" s="835"/>
      <c r="J83" s="835"/>
    </row>
    <row r="84" spans="1:10" s="854" customFormat="1" ht="25.5">
      <c r="A84" s="831">
        <v>210</v>
      </c>
      <c r="B84" s="836">
        <v>500</v>
      </c>
      <c r="C84" s="839">
        <v>402</v>
      </c>
      <c r="D84" s="839"/>
      <c r="E84" s="839"/>
      <c r="F84" s="840"/>
      <c r="G84" s="796" t="s">
        <v>4579</v>
      </c>
      <c r="H84" s="792" t="s">
        <v>3941</v>
      </c>
      <c r="I84" s="835"/>
      <c r="J84" s="835"/>
    </row>
    <row r="85" spans="1:10" s="854" customFormat="1" ht="25.5">
      <c r="A85" s="831">
        <v>210</v>
      </c>
      <c r="B85" s="836">
        <v>500</v>
      </c>
      <c r="C85" s="839">
        <v>403</v>
      </c>
      <c r="D85" s="839"/>
      <c r="E85" s="839"/>
      <c r="F85" s="840"/>
      <c r="G85" s="796" t="s">
        <v>4580</v>
      </c>
      <c r="H85" s="792" t="s">
        <v>3943</v>
      </c>
      <c r="I85" s="835"/>
      <c r="J85" s="835"/>
    </row>
    <row r="86" spans="1:10" s="854" customFormat="1" ht="25.5">
      <c r="A86" s="831">
        <v>210</v>
      </c>
      <c r="B86" s="836">
        <v>500</v>
      </c>
      <c r="C86" s="839">
        <v>404</v>
      </c>
      <c r="D86" s="839"/>
      <c r="E86" s="839"/>
      <c r="F86" s="840"/>
      <c r="G86" s="796" t="s">
        <v>4581</v>
      </c>
      <c r="H86" s="792" t="s">
        <v>3945</v>
      </c>
      <c r="I86" s="835">
        <v>138036</v>
      </c>
      <c r="J86" s="835">
        <v>138036</v>
      </c>
    </row>
    <row r="87" spans="1:10" s="854" customFormat="1" ht="25.5">
      <c r="A87" s="831">
        <v>210</v>
      </c>
      <c r="B87" s="836">
        <v>500</v>
      </c>
      <c r="C87" s="839">
        <v>405</v>
      </c>
      <c r="D87" s="839"/>
      <c r="E87" s="839"/>
      <c r="F87" s="840"/>
      <c r="G87" s="796" t="s">
        <v>4582</v>
      </c>
      <c r="H87" s="792" t="s">
        <v>3947</v>
      </c>
      <c r="I87" s="835"/>
      <c r="J87" s="835"/>
    </row>
    <row r="88" spans="1:10" s="854" customFormat="1" ht="25.5">
      <c r="A88" s="831">
        <v>210</v>
      </c>
      <c r="B88" s="836">
        <v>500</v>
      </c>
      <c r="C88" s="839">
        <v>406</v>
      </c>
      <c r="D88" s="839"/>
      <c r="E88" s="839"/>
      <c r="F88" s="840"/>
      <c r="G88" s="796" t="s">
        <v>4583</v>
      </c>
      <c r="H88" s="792" t="s">
        <v>3949</v>
      </c>
      <c r="I88" s="835"/>
      <c r="J88" s="835"/>
    </row>
    <row r="89" spans="1:10" s="854" customFormat="1" ht="25.5">
      <c r="A89" s="831">
        <v>210</v>
      </c>
      <c r="B89" s="836">
        <v>500</v>
      </c>
      <c r="C89" s="839">
        <v>407</v>
      </c>
      <c r="D89" s="839"/>
      <c r="E89" s="839"/>
      <c r="F89" s="840"/>
      <c r="G89" s="796" t="s">
        <v>4584</v>
      </c>
      <c r="H89" s="792" t="s">
        <v>3951</v>
      </c>
      <c r="I89" s="835"/>
      <c r="J89" s="835"/>
    </row>
    <row r="90" spans="1:10" s="854" customFormat="1" ht="25.5">
      <c r="A90" s="831">
        <v>210</v>
      </c>
      <c r="B90" s="836">
        <v>500</v>
      </c>
      <c r="C90" s="839">
        <v>408</v>
      </c>
      <c r="D90" s="839"/>
      <c r="E90" s="839"/>
      <c r="F90" s="840"/>
      <c r="G90" s="796" t="s">
        <v>4585</v>
      </c>
      <c r="H90" s="792" t="s">
        <v>3953</v>
      </c>
      <c r="I90" s="835"/>
      <c r="J90" s="835"/>
    </row>
    <row r="91" spans="1:10" s="854" customFormat="1" ht="25.5">
      <c r="A91" s="831">
        <v>210</v>
      </c>
      <c r="B91" s="836">
        <v>500</v>
      </c>
      <c r="C91" s="839">
        <v>415</v>
      </c>
      <c r="D91" s="839"/>
      <c r="E91" s="839"/>
      <c r="F91" s="840"/>
      <c r="G91" s="796" t="s">
        <v>4586</v>
      </c>
      <c r="H91" s="792" t="s">
        <v>3955</v>
      </c>
      <c r="I91" s="835"/>
      <c r="J91" s="835"/>
    </row>
    <row r="92" spans="1:10" s="854" customFormat="1">
      <c r="A92" s="831">
        <v>210</v>
      </c>
      <c r="B92" s="836">
        <v>500</v>
      </c>
      <c r="C92" s="839">
        <v>409</v>
      </c>
      <c r="D92" s="839"/>
      <c r="E92" s="839"/>
      <c r="F92" s="840"/>
      <c r="G92" s="796" t="s">
        <v>4587</v>
      </c>
      <c r="H92" s="792" t="s">
        <v>3957</v>
      </c>
      <c r="I92" s="835"/>
      <c r="J92" s="835"/>
    </row>
    <row r="93" spans="1:10" s="854" customFormat="1" ht="25.5">
      <c r="A93" s="831">
        <v>210</v>
      </c>
      <c r="B93" s="836">
        <v>500</v>
      </c>
      <c r="C93" s="839">
        <v>416</v>
      </c>
      <c r="D93" s="839"/>
      <c r="E93" s="839"/>
      <c r="F93" s="840"/>
      <c r="G93" s="796" t="s">
        <v>4588</v>
      </c>
      <c r="H93" s="792" t="s">
        <v>3959</v>
      </c>
      <c r="I93" s="835"/>
      <c r="J93" s="835"/>
    </row>
    <row r="94" spans="1:10" s="854" customFormat="1" ht="25.5">
      <c r="A94" s="831">
        <v>210</v>
      </c>
      <c r="B94" s="836">
        <v>500</v>
      </c>
      <c r="C94" s="839">
        <v>410</v>
      </c>
      <c r="D94" s="839"/>
      <c r="E94" s="839"/>
      <c r="F94" s="840"/>
      <c r="G94" s="796" t="s">
        <v>4589</v>
      </c>
      <c r="H94" s="792" t="s">
        <v>3963</v>
      </c>
      <c r="I94" s="835"/>
      <c r="J94" s="835"/>
    </row>
    <row r="95" spans="1:10" s="854" customFormat="1" ht="25.5">
      <c r="A95" s="831">
        <v>210</v>
      </c>
      <c r="B95" s="836">
        <v>500</v>
      </c>
      <c r="C95" s="839">
        <v>411</v>
      </c>
      <c r="D95" s="839"/>
      <c r="E95" s="839"/>
      <c r="F95" s="840"/>
      <c r="G95" s="796" t="s">
        <v>4590</v>
      </c>
      <c r="H95" s="792" t="s">
        <v>3965</v>
      </c>
      <c r="I95" s="835"/>
      <c r="J95" s="835"/>
    </row>
    <row r="96" spans="1:10" s="854" customFormat="1" ht="25.5">
      <c r="A96" s="831">
        <v>210</v>
      </c>
      <c r="B96" s="836">
        <v>500</v>
      </c>
      <c r="C96" s="839">
        <v>412</v>
      </c>
      <c r="D96" s="839"/>
      <c r="E96" s="839"/>
      <c r="F96" s="840"/>
      <c r="G96" s="796" t="s">
        <v>4591</v>
      </c>
      <c r="H96" s="792" t="s">
        <v>3967</v>
      </c>
      <c r="I96" s="835"/>
      <c r="J96" s="835"/>
    </row>
    <row r="97" spans="1:10" s="854" customFormat="1">
      <c r="A97" s="831">
        <v>210</v>
      </c>
      <c r="B97" s="836">
        <v>500</v>
      </c>
      <c r="C97" s="839">
        <v>413</v>
      </c>
      <c r="D97" s="839"/>
      <c r="E97" s="839"/>
      <c r="F97" s="840"/>
      <c r="G97" s="796" t="s">
        <v>4592</v>
      </c>
      <c r="H97" s="792" t="s">
        <v>3971</v>
      </c>
      <c r="I97" s="835"/>
      <c r="J97" s="835"/>
    </row>
    <row r="98" spans="1:10" s="854" customFormat="1" ht="25.5">
      <c r="A98" s="831">
        <v>210</v>
      </c>
      <c r="B98" s="836">
        <v>500</v>
      </c>
      <c r="C98" s="839">
        <v>414</v>
      </c>
      <c r="D98" s="839"/>
      <c r="E98" s="839"/>
      <c r="F98" s="840"/>
      <c r="G98" s="796" t="s">
        <v>4593</v>
      </c>
      <c r="H98" s="792" t="s">
        <v>3973</v>
      </c>
      <c r="I98" s="835"/>
      <c r="J98" s="835"/>
    </row>
    <row r="99" spans="1:10" s="854" customFormat="1">
      <c r="A99" s="831">
        <v>210</v>
      </c>
      <c r="B99" s="836">
        <v>500</v>
      </c>
      <c r="C99" s="839">
        <v>500</v>
      </c>
      <c r="D99" s="839"/>
      <c r="E99" s="839"/>
      <c r="F99" s="840"/>
      <c r="G99" s="796" t="s">
        <v>4594</v>
      </c>
      <c r="H99" s="792" t="s">
        <v>3979</v>
      </c>
      <c r="I99" s="835"/>
      <c r="J99" s="835"/>
    </row>
    <row r="100" spans="1:10" s="37" customFormat="1">
      <c r="A100" s="831">
        <v>210</v>
      </c>
      <c r="B100" s="836">
        <v>500</v>
      </c>
      <c r="C100" s="839">
        <v>604</v>
      </c>
      <c r="D100" s="839"/>
      <c r="E100" s="839"/>
      <c r="F100" s="840"/>
      <c r="G100" s="796" t="s">
        <v>4595</v>
      </c>
      <c r="H100" s="792" t="s">
        <v>3995</v>
      </c>
      <c r="I100" s="835">
        <v>124985</v>
      </c>
      <c r="J100" s="835">
        <v>124985</v>
      </c>
    </row>
    <row r="101" spans="1:10" s="37" customFormat="1">
      <c r="A101" s="831">
        <v>210</v>
      </c>
      <c r="B101" s="836">
        <v>500</v>
      </c>
      <c r="C101" s="839">
        <v>700</v>
      </c>
      <c r="D101" s="839"/>
      <c r="E101" s="839"/>
      <c r="F101" s="840"/>
      <c r="G101" s="796" t="s">
        <v>4596</v>
      </c>
      <c r="H101" s="792" t="s">
        <v>4001</v>
      </c>
      <c r="I101" s="835"/>
      <c r="J101" s="835"/>
    </row>
    <row r="102" spans="1:10" s="37" customFormat="1">
      <c r="A102" s="831">
        <v>210</v>
      </c>
      <c r="B102" s="836">
        <v>500</v>
      </c>
      <c r="C102" s="839">
        <v>701</v>
      </c>
      <c r="D102" s="839"/>
      <c r="E102" s="839"/>
      <c r="F102" s="840"/>
      <c r="G102" s="796" t="s">
        <v>4597</v>
      </c>
      <c r="H102" s="792" t="s">
        <v>4003</v>
      </c>
      <c r="I102" s="835"/>
      <c r="J102" s="835"/>
    </row>
    <row r="103" spans="1:10" s="37" customFormat="1">
      <c r="A103" s="831">
        <v>210</v>
      </c>
      <c r="B103" s="836">
        <v>500</v>
      </c>
      <c r="C103" s="839">
        <v>702</v>
      </c>
      <c r="D103" s="839"/>
      <c r="E103" s="839"/>
      <c r="F103" s="840"/>
      <c r="G103" s="796" t="s">
        <v>4598</v>
      </c>
      <c r="H103" s="792" t="s">
        <v>4005</v>
      </c>
      <c r="I103" s="835"/>
      <c r="J103" s="835"/>
    </row>
    <row r="104" spans="1:10" s="37" customFormat="1">
      <c r="A104" s="831">
        <v>210</v>
      </c>
      <c r="B104" s="836">
        <v>500</v>
      </c>
      <c r="C104" s="839">
        <v>703</v>
      </c>
      <c r="D104" s="839"/>
      <c r="E104" s="839"/>
      <c r="F104" s="840"/>
      <c r="G104" s="796" t="s">
        <v>4599</v>
      </c>
      <c r="H104" s="792" t="s">
        <v>4007</v>
      </c>
      <c r="I104" s="835"/>
      <c r="J104" s="835"/>
    </row>
    <row r="105" spans="1:10" s="37" customFormat="1">
      <c r="A105" s="831">
        <v>210</v>
      </c>
      <c r="B105" s="836">
        <v>500</v>
      </c>
      <c r="C105" s="839">
        <v>900</v>
      </c>
      <c r="D105" s="839"/>
      <c r="E105" s="839"/>
      <c r="F105" s="840"/>
      <c r="G105" s="796" t="s">
        <v>4600</v>
      </c>
      <c r="H105" s="792" t="s">
        <v>4011</v>
      </c>
      <c r="I105" s="835">
        <v>89682</v>
      </c>
      <c r="J105" s="835">
        <v>324453</v>
      </c>
    </row>
    <row r="106" spans="1:10" s="37" customFormat="1">
      <c r="A106" s="831">
        <v>210</v>
      </c>
      <c r="B106" s="836">
        <v>500</v>
      </c>
      <c r="C106" s="839">
        <v>901</v>
      </c>
      <c r="D106" s="839"/>
      <c r="E106" s="839"/>
      <c r="F106" s="840"/>
      <c r="G106" s="796" t="s">
        <v>4601</v>
      </c>
      <c r="H106" s="792" t="s">
        <v>4013</v>
      </c>
      <c r="I106" s="835"/>
      <c r="J106" s="835"/>
    </row>
    <row r="107" spans="1:10" s="37" customFormat="1">
      <c r="A107" s="831">
        <v>210</v>
      </c>
      <c r="B107" s="836">
        <v>500</v>
      </c>
      <c r="C107" s="839">
        <v>902</v>
      </c>
      <c r="D107" s="839"/>
      <c r="E107" s="839"/>
      <c r="F107" s="840"/>
      <c r="G107" s="796" t="s">
        <v>4602</v>
      </c>
      <c r="H107" s="792" t="s">
        <v>4015</v>
      </c>
      <c r="I107" s="835"/>
      <c r="J107" s="835"/>
    </row>
    <row r="108" spans="1:10" s="37" customFormat="1">
      <c r="A108" s="831">
        <v>210</v>
      </c>
      <c r="B108" s="836">
        <v>500</v>
      </c>
      <c r="C108" s="839">
        <v>903</v>
      </c>
      <c r="D108" s="839"/>
      <c r="E108" s="839"/>
      <c r="F108" s="840"/>
      <c r="G108" s="796" t="s">
        <v>4603</v>
      </c>
      <c r="H108" s="792" t="s">
        <v>4017</v>
      </c>
      <c r="I108" s="835"/>
      <c r="J108" s="835"/>
    </row>
    <row r="109" spans="1:10" s="37" customFormat="1">
      <c r="A109" s="831">
        <v>210</v>
      </c>
      <c r="B109" s="836">
        <v>500</v>
      </c>
      <c r="C109" s="839">
        <v>990</v>
      </c>
      <c r="D109" s="839"/>
      <c r="E109" s="839"/>
      <c r="F109" s="840"/>
      <c r="G109" s="796" t="s">
        <v>4604</v>
      </c>
      <c r="H109" s="792" t="s">
        <v>4019</v>
      </c>
      <c r="I109" s="835"/>
      <c r="J109" s="835"/>
    </row>
    <row r="110" spans="1:10" s="37" customFormat="1" ht="25.5">
      <c r="A110" s="831">
        <v>210</v>
      </c>
      <c r="B110" s="836">
        <v>500</v>
      </c>
      <c r="C110" s="839">
        <v>991</v>
      </c>
      <c r="D110" s="832"/>
      <c r="E110" s="832"/>
      <c r="F110" s="855"/>
      <c r="G110" s="801" t="s">
        <v>4605</v>
      </c>
      <c r="H110" s="792" t="s">
        <v>4021</v>
      </c>
      <c r="I110" s="835"/>
      <c r="J110" s="835"/>
    </row>
    <row r="111" spans="1:10" s="37" customFormat="1">
      <c r="A111" s="856">
        <v>220</v>
      </c>
      <c r="B111" s="857">
        <v>0</v>
      </c>
      <c r="C111" s="857">
        <v>0</v>
      </c>
      <c r="D111" s="857">
        <v>0</v>
      </c>
      <c r="E111" s="857">
        <v>0</v>
      </c>
      <c r="F111" s="858">
        <v>0</v>
      </c>
      <c r="G111" s="859" t="s">
        <v>3655</v>
      </c>
      <c r="H111" s="778"/>
      <c r="I111" s="850"/>
      <c r="J111" s="850"/>
    </row>
    <row r="112" spans="1:10" s="37" customFormat="1">
      <c r="A112" s="831">
        <v>220</v>
      </c>
      <c r="B112" s="839">
        <v>100</v>
      </c>
      <c r="C112" s="839"/>
      <c r="D112" s="839"/>
      <c r="E112" s="839"/>
      <c r="F112" s="840"/>
      <c r="G112" s="796" t="s">
        <v>4606</v>
      </c>
      <c r="H112" s="755" t="s">
        <v>4125</v>
      </c>
      <c r="I112" s="835"/>
      <c r="J112" s="835"/>
    </row>
    <row r="113" spans="1:10" s="749" customFormat="1">
      <c r="A113" s="831">
        <v>220</v>
      </c>
      <c r="B113" s="836">
        <v>200</v>
      </c>
      <c r="C113" s="836"/>
      <c r="D113" s="836"/>
      <c r="E113" s="836"/>
      <c r="F113" s="837"/>
      <c r="G113" s="838" t="s">
        <v>4607</v>
      </c>
      <c r="H113" s="755"/>
      <c r="I113" s="791"/>
      <c r="J113" s="791"/>
    </row>
    <row r="114" spans="1:10" s="37" customFormat="1">
      <c r="A114" s="831">
        <v>220</v>
      </c>
      <c r="B114" s="836">
        <v>200</v>
      </c>
      <c r="C114" s="839">
        <v>100</v>
      </c>
      <c r="D114" s="839"/>
      <c r="E114" s="839"/>
      <c r="F114" s="840"/>
      <c r="G114" s="796" t="s">
        <v>4608</v>
      </c>
      <c r="H114" s="755" t="s">
        <v>4129</v>
      </c>
      <c r="I114" s="812">
        <v>3070898</v>
      </c>
      <c r="J114" s="812">
        <v>3264701</v>
      </c>
    </row>
    <row r="115" spans="1:10" s="37" customFormat="1">
      <c r="A115" s="831">
        <v>220</v>
      </c>
      <c r="B115" s="836">
        <v>200</v>
      </c>
      <c r="C115" s="839">
        <v>200</v>
      </c>
      <c r="D115" s="839"/>
      <c r="E115" s="839"/>
      <c r="F115" s="840"/>
      <c r="G115" s="796" t="s">
        <v>4609</v>
      </c>
      <c r="H115" s="755" t="s">
        <v>4131</v>
      </c>
      <c r="I115" s="812">
        <v>869559</v>
      </c>
      <c r="J115" s="812">
        <v>1495755</v>
      </c>
    </row>
    <row r="116" spans="1:10" s="37" customFormat="1">
      <c r="A116" s="831">
        <v>220</v>
      </c>
      <c r="B116" s="836">
        <v>200</v>
      </c>
      <c r="C116" s="839">
        <v>300</v>
      </c>
      <c r="D116" s="839"/>
      <c r="E116" s="839"/>
      <c r="F116" s="840"/>
      <c r="G116" s="796" t="s">
        <v>4610</v>
      </c>
      <c r="H116" s="755" t="s">
        <v>4133</v>
      </c>
      <c r="I116" s="835"/>
      <c r="J116" s="835"/>
    </row>
    <row r="117" spans="1:10" s="37" customFormat="1">
      <c r="A117" s="831">
        <v>220</v>
      </c>
      <c r="B117" s="836">
        <v>200</v>
      </c>
      <c r="C117" s="839">
        <v>400</v>
      </c>
      <c r="D117" s="839"/>
      <c r="E117" s="839"/>
      <c r="F117" s="840"/>
      <c r="G117" s="796" t="s">
        <v>4611</v>
      </c>
      <c r="H117" s="755" t="s">
        <v>4135</v>
      </c>
      <c r="I117" s="835"/>
      <c r="J117" s="835"/>
    </row>
    <row r="118" spans="1:10" s="37" customFormat="1">
      <c r="A118" s="831">
        <v>220</v>
      </c>
      <c r="B118" s="836">
        <v>200</v>
      </c>
      <c r="C118" s="839">
        <v>500</v>
      </c>
      <c r="D118" s="839"/>
      <c r="E118" s="839"/>
      <c r="F118" s="840"/>
      <c r="G118" s="796" t="s">
        <v>4612</v>
      </c>
      <c r="H118" s="755" t="s">
        <v>4137</v>
      </c>
      <c r="I118" s="835"/>
      <c r="J118" s="835"/>
    </row>
    <row r="119" spans="1:10" s="37" customFormat="1">
      <c r="A119" s="831">
        <v>220</v>
      </c>
      <c r="B119" s="836">
        <v>200</v>
      </c>
      <c r="C119" s="839">
        <v>600</v>
      </c>
      <c r="D119" s="839"/>
      <c r="E119" s="839"/>
      <c r="F119" s="840"/>
      <c r="G119" s="796" t="s">
        <v>4613</v>
      </c>
      <c r="H119" s="755" t="s">
        <v>4139</v>
      </c>
      <c r="I119" s="835"/>
      <c r="J119" s="835"/>
    </row>
    <row r="120" spans="1:10" s="37" customFormat="1">
      <c r="A120" s="831">
        <v>220</v>
      </c>
      <c r="B120" s="836">
        <v>200</v>
      </c>
      <c r="C120" s="836">
        <v>900</v>
      </c>
      <c r="D120" s="836"/>
      <c r="E120" s="836"/>
      <c r="F120" s="837"/>
      <c r="G120" s="838" t="s">
        <v>4614</v>
      </c>
      <c r="H120" s="755" t="s">
        <v>4141</v>
      </c>
      <c r="I120" s="791"/>
      <c r="J120" s="791"/>
    </row>
    <row r="121" spans="1:10" s="37" customFormat="1">
      <c r="A121" s="831">
        <v>220</v>
      </c>
      <c r="B121" s="836">
        <v>200</v>
      </c>
      <c r="C121" s="836">
        <v>900</v>
      </c>
      <c r="D121" s="839">
        <v>100</v>
      </c>
      <c r="E121" s="843"/>
      <c r="F121" s="844"/>
      <c r="G121" s="841" t="s">
        <v>4615</v>
      </c>
      <c r="H121" s="755"/>
      <c r="I121" s="835"/>
      <c r="J121" s="835"/>
    </row>
    <row r="122" spans="1:10" s="37" customFormat="1">
      <c r="A122" s="831">
        <v>220</v>
      </c>
      <c r="B122" s="836">
        <v>200</v>
      </c>
      <c r="C122" s="836">
        <v>900</v>
      </c>
      <c r="D122" s="839">
        <v>200</v>
      </c>
      <c r="E122" s="843"/>
      <c r="F122" s="844"/>
      <c r="G122" s="841" t="s">
        <v>4616</v>
      </c>
      <c r="H122" s="755"/>
      <c r="I122" s="835"/>
      <c r="J122" s="835"/>
    </row>
    <row r="123" spans="1:10" s="37" customFormat="1">
      <c r="A123" s="831">
        <v>220</v>
      </c>
      <c r="B123" s="836">
        <v>200</v>
      </c>
      <c r="C123" s="836">
        <v>900</v>
      </c>
      <c r="D123" s="839">
        <v>900</v>
      </c>
      <c r="E123" s="839"/>
      <c r="F123" s="840"/>
      <c r="G123" s="841" t="s">
        <v>4614</v>
      </c>
      <c r="H123" s="755"/>
      <c r="I123" s="835">
        <v>636732</v>
      </c>
      <c r="J123" s="835">
        <v>636732</v>
      </c>
    </row>
    <row r="124" spans="1:10" s="37" customFormat="1">
      <c r="A124" s="831">
        <v>220</v>
      </c>
      <c r="B124" s="836">
        <v>300</v>
      </c>
      <c r="C124" s="836"/>
      <c r="D124" s="860"/>
      <c r="E124" s="860"/>
      <c r="F124" s="861"/>
      <c r="G124" s="838" t="s">
        <v>4617</v>
      </c>
      <c r="H124" s="755"/>
      <c r="I124" s="791"/>
      <c r="J124" s="791"/>
    </row>
    <row r="125" spans="1:10" s="37" customFormat="1">
      <c r="A125" s="831">
        <v>220</v>
      </c>
      <c r="B125" s="836">
        <v>300</v>
      </c>
      <c r="C125" s="839">
        <v>100</v>
      </c>
      <c r="D125" s="843"/>
      <c r="E125" s="843"/>
      <c r="F125" s="844"/>
      <c r="G125" s="796" t="s">
        <v>4618</v>
      </c>
      <c r="H125" s="755" t="s">
        <v>4145</v>
      </c>
      <c r="I125" s="835"/>
      <c r="J125" s="835"/>
    </row>
    <row r="126" spans="1:10" s="37" customFormat="1">
      <c r="A126" s="831">
        <v>220</v>
      </c>
      <c r="B126" s="836">
        <v>300</v>
      </c>
      <c r="C126" s="839">
        <v>200</v>
      </c>
      <c r="D126" s="843"/>
      <c r="E126" s="843"/>
      <c r="F126" s="844"/>
      <c r="G126" s="796" t="s">
        <v>4619</v>
      </c>
      <c r="H126" s="755" t="s">
        <v>4147</v>
      </c>
      <c r="I126" s="835"/>
      <c r="J126" s="835"/>
    </row>
    <row r="127" spans="1:10" s="37" customFormat="1">
      <c r="A127" s="831">
        <v>220</v>
      </c>
      <c r="B127" s="836">
        <v>300</v>
      </c>
      <c r="C127" s="832">
        <v>300</v>
      </c>
      <c r="D127" s="843"/>
      <c r="E127" s="843"/>
      <c r="F127" s="844"/>
      <c r="G127" s="796" t="s">
        <v>4620</v>
      </c>
      <c r="H127" s="755" t="s">
        <v>4149</v>
      </c>
      <c r="I127" s="835"/>
      <c r="J127" s="835"/>
    </row>
    <row r="128" spans="1:10" s="37" customFormat="1">
      <c r="A128" s="831">
        <v>220</v>
      </c>
      <c r="B128" s="836">
        <v>300</v>
      </c>
      <c r="C128" s="839">
        <v>400</v>
      </c>
      <c r="D128" s="843"/>
      <c r="E128" s="843"/>
      <c r="F128" s="844"/>
      <c r="G128" s="796" t="s">
        <v>4621</v>
      </c>
      <c r="H128" s="755" t="s">
        <v>4151</v>
      </c>
      <c r="I128" s="835"/>
      <c r="J128" s="835"/>
    </row>
    <row r="129" spans="1:10" s="37" customFormat="1">
      <c r="A129" s="831">
        <v>220</v>
      </c>
      <c r="B129" s="836">
        <v>300</v>
      </c>
      <c r="C129" s="839">
        <v>500</v>
      </c>
      <c r="D129" s="843"/>
      <c r="E129" s="843"/>
      <c r="F129" s="844"/>
      <c r="G129" s="796" t="s">
        <v>4622</v>
      </c>
      <c r="H129" s="755" t="s">
        <v>4153</v>
      </c>
      <c r="I129" s="835"/>
      <c r="J129" s="835"/>
    </row>
    <row r="130" spans="1:10" s="37" customFormat="1">
      <c r="A130" s="831">
        <v>220</v>
      </c>
      <c r="B130" s="836">
        <v>300</v>
      </c>
      <c r="C130" s="839">
        <v>600</v>
      </c>
      <c r="D130" s="843"/>
      <c r="E130" s="843"/>
      <c r="F130" s="844"/>
      <c r="G130" s="796" t="s">
        <v>4623</v>
      </c>
      <c r="H130" s="755" t="s">
        <v>4155</v>
      </c>
      <c r="I130" s="835"/>
      <c r="J130" s="835"/>
    </row>
    <row r="131" spans="1:10" s="37" customFormat="1">
      <c r="A131" s="831">
        <v>220</v>
      </c>
      <c r="B131" s="836">
        <v>300</v>
      </c>
      <c r="C131" s="832">
        <v>700</v>
      </c>
      <c r="D131" s="843"/>
      <c r="E131" s="843"/>
      <c r="F131" s="844"/>
      <c r="G131" s="796" t="s">
        <v>4624</v>
      </c>
      <c r="H131" s="755" t="s">
        <v>4157</v>
      </c>
      <c r="I131" s="835"/>
      <c r="J131" s="835"/>
    </row>
    <row r="132" spans="1:10" s="37" customFormat="1" ht="25.5">
      <c r="A132" s="831">
        <v>220</v>
      </c>
      <c r="B132" s="836">
        <v>300</v>
      </c>
      <c r="C132" s="832">
        <v>800</v>
      </c>
      <c r="D132" s="843"/>
      <c r="E132" s="843"/>
      <c r="F132" s="844"/>
      <c r="G132" s="796" t="s">
        <v>4625</v>
      </c>
      <c r="H132" s="755" t="s">
        <v>4159</v>
      </c>
      <c r="I132" s="835"/>
      <c r="J132" s="835"/>
    </row>
    <row r="133" spans="1:10" s="37" customFormat="1">
      <c r="A133" s="831">
        <v>220</v>
      </c>
      <c r="B133" s="836">
        <v>400</v>
      </c>
      <c r="C133" s="836"/>
      <c r="D133" s="860"/>
      <c r="E133" s="860"/>
      <c r="F133" s="861"/>
      <c r="G133" s="838" t="s">
        <v>4626</v>
      </c>
      <c r="H133" s="755" t="s">
        <v>4161</v>
      </c>
      <c r="I133" s="791"/>
      <c r="J133" s="791"/>
    </row>
    <row r="134" spans="1:10" s="37" customFormat="1" ht="25.5">
      <c r="A134" s="831">
        <v>220</v>
      </c>
      <c r="B134" s="836">
        <v>400</v>
      </c>
      <c r="C134" s="839">
        <v>50</v>
      </c>
      <c r="D134" s="860"/>
      <c r="E134" s="860"/>
      <c r="F134" s="861"/>
      <c r="G134" s="796" t="s">
        <v>4627</v>
      </c>
      <c r="H134" s="755" t="s">
        <v>4163</v>
      </c>
      <c r="I134" s="835">
        <v>2033747</v>
      </c>
      <c r="J134" s="835">
        <v>205207</v>
      </c>
    </row>
    <row r="135" spans="1:10" s="37" customFormat="1" ht="25.5">
      <c r="A135" s="831">
        <v>220</v>
      </c>
      <c r="B135" s="836">
        <v>400</v>
      </c>
      <c r="C135" s="839">
        <v>100</v>
      </c>
      <c r="D135" s="843"/>
      <c r="E135" s="843"/>
      <c r="F135" s="844"/>
      <c r="G135" s="796" t="s">
        <v>4628</v>
      </c>
      <c r="H135" s="755" t="s">
        <v>4165</v>
      </c>
      <c r="I135" s="835"/>
      <c r="J135" s="835">
        <v>0</v>
      </c>
    </row>
    <row r="136" spans="1:10" s="37" customFormat="1">
      <c r="A136" s="831">
        <v>220</v>
      </c>
      <c r="B136" s="836">
        <v>400</v>
      </c>
      <c r="C136" s="839">
        <v>200</v>
      </c>
      <c r="D136" s="843"/>
      <c r="E136" s="843"/>
      <c r="F136" s="844"/>
      <c r="G136" s="796" t="s">
        <v>4629</v>
      </c>
      <c r="H136" s="755" t="s">
        <v>4167</v>
      </c>
      <c r="I136" s="835">
        <v>1930690</v>
      </c>
      <c r="J136" s="835">
        <v>1489126</v>
      </c>
    </row>
    <row r="137" spans="1:10" s="37" customFormat="1">
      <c r="A137" s="831">
        <v>220</v>
      </c>
      <c r="B137" s="836">
        <v>400</v>
      </c>
      <c r="C137" s="839">
        <v>300</v>
      </c>
      <c r="D137" s="843"/>
      <c r="E137" s="843"/>
      <c r="F137" s="844"/>
      <c r="G137" s="796" t="s">
        <v>4630</v>
      </c>
      <c r="H137" s="755" t="s">
        <v>4169</v>
      </c>
      <c r="I137" s="835">
        <v>4694074</v>
      </c>
      <c r="J137" s="835">
        <v>11719320</v>
      </c>
    </row>
    <row r="138" spans="1:10" s="37" customFormat="1">
      <c r="A138" s="831">
        <v>220</v>
      </c>
      <c r="B138" s="836">
        <v>400</v>
      </c>
      <c r="C138" s="836">
        <v>400</v>
      </c>
      <c r="D138" s="860"/>
      <c r="E138" s="860"/>
      <c r="F138" s="861"/>
      <c r="G138" s="838" t="s">
        <v>4631</v>
      </c>
      <c r="H138" s="755" t="s">
        <v>4171</v>
      </c>
      <c r="I138" s="791"/>
      <c r="J138" s="791"/>
    </row>
    <row r="139" spans="1:10" s="37" customFormat="1">
      <c r="A139" s="831">
        <v>220</v>
      </c>
      <c r="B139" s="836">
        <v>400</v>
      </c>
      <c r="C139" s="836">
        <v>400</v>
      </c>
      <c r="D139" s="839">
        <v>100</v>
      </c>
      <c r="E139" s="843"/>
      <c r="F139" s="844"/>
      <c r="G139" s="841" t="s">
        <v>4632</v>
      </c>
      <c r="H139" s="755"/>
      <c r="I139" s="835">
        <v>157034</v>
      </c>
      <c r="J139" s="835">
        <v>111518</v>
      </c>
    </row>
    <row r="140" spans="1:10" s="37" customFormat="1">
      <c r="A140" s="862">
        <v>220</v>
      </c>
      <c r="B140" s="863">
        <v>400</v>
      </c>
      <c r="C140" s="863">
        <v>400</v>
      </c>
      <c r="D140" s="864">
        <v>900</v>
      </c>
      <c r="E140" s="865"/>
      <c r="F140" s="866"/>
      <c r="G140" s="867" t="s">
        <v>4633</v>
      </c>
      <c r="H140" s="755"/>
      <c r="I140" s="835">
        <v>6348679</v>
      </c>
      <c r="J140" s="835">
        <v>2710980</v>
      </c>
    </row>
    <row r="141" spans="1:10" s="37" customFormat="1">
      <c r="A141" s="831">
        <v>220</v>
      </c>
      <c r="B141" s="836">
        <v>500</v>
      </c>
      <c r="C141" s="836"/>
      <c r="D141" s="860"/>
      <c r="E141" s="860"/>
      <c r="F141" s="861"/>
      <c r="G141" s="838" t="s">
        <v>4634</v>
      </c>
      <c r="H141" s="755"/>
      <c r="I141" s="791"/>
      <c r="J141" s="791"/>
    </row>
    <row r="142" spans="1:10" s="37" customFormat="1">
      <c r="A142" s="831">
        <v>220</v>
      </c>
      <c r="B142" s="836">
        <v>500</v>
      </c>
      <c r="C142" s="839">
        <v>100</v>
      </c>
      <c r="D142" s="843"/>
      <c r="E142" s="843"/>
      <c r="F142" s="844"/>
      <c r="G142" s="796" t="s">
        <v>4635</v>
      </c>
      <c r="H142" s="755" t="s">
        <v>4175</v>
      </c>
      <c r="I142" s="835"/>
      <c r="J142" s="835"/>
    </row>
    <row r="143" spans="1:10" s="37" customFormat="1">
      <c r="A143" s="831">
        <v>220</v>
      </c>
      <c r="B143" s="836">
        <v>500</v>
      </c>
      <c r="C143" s="836">
        <v>200</v>
      </c>
      <c r="D143" s="860"/>
      <c r="E143" s="860"/>
      <c r="F143" s="861"/>
      <c r="G143" s="838" t="s">
        <v>4636</v>
      </c>
      <c r="H143" s="755"/>
      <c r="I143" s="791"/>
      <c r="J143" s="791"/>
    </row>
    <row r="144" spans="1:10" s="37" customFormat="1">
      <c r="A144" s="831">
        <v>220</v>
      </c>
      <c r="B144" s="836">
        <v>500</v>
      </c>
      <c r="C144" s="836">
        <v>200</v>
      </c>
      <c r="D144" s="839">
        <v>100</v>
      </c>
      <c r="E144" s="839"/>
      <c r="F144" s="840"/>
      <c r="G144" s="796" t="s">
        <v>4637</v>
      </c>
      <c r="H144" s="755" t="s">
        <v>4179</v>
      </c>
      <c r="I144" s="835">
        <v>904643</v>
      </c>
      <c r="J144" s="835">
        <v>2468500</v>
      </c>
    </row>
    <row r="145" spans="1:10" s="37" customFormat="1">
      <c r="A145" s="831">
        <v>220</v>
      </c>
      <c r="B145" s="836">
        <v>500</v>
      </c>
      <c r="C145" s="836">
        <v>200</v>
      </c>
      <c r="D145" s="839">
        <v>200</v>
      </c>
      <c r="E145" s="839"/>
      <c r="F145" s="840"/>
      <c r="G145" s="796" t="s">
        <v>4638</v>
      </c>
      <c r="H145" s="755" t="s">
        <v>4181</v>
      </c>
      <c r="I145" s="835"/>
      <c r="J145" s="835"/>
    </row>
    <row r="146" spans="1:10" s="37" customFormat="1">
      <c r="A146" s="831">
        <v>220</v>
      </c>
      <c r="B146" s="836">
        <v>500</v>
      </c>
      <c r="C146" s="836">
        <v>200</v>
      </c>
      <c r="D146" s="839">
        <v>300</v>
      </c>
      <c r="E146" s="839"/>
      <c r="F146" s="840"/>
      <c r="G146" s="796" t="s">
        <v>4639</v>
      </c>
      <c r="H146" s="755" t="s">
        <v>4183</v>
      </c>
      <c r="I146" s="835"/>
      <c r="J146" s="835"/>
    </row>
    <row r="147" spans="1:10" s="37" customFormat="1">
      <c r="A147" s="831">
        <v>220</v>
      </c>
      <c r="B147" s="836">
        <v>500</v>
      </c>
      <c r="C147" s="836">
        <v>900</v>
      </c>
      <c r="D147" s="836"/>
      <c r="E147" s="836"/>
      <c r="F147" s="861"/>
      <c r="G147" s="868" t="s">
        <v>4640</v>
      </c>
      <c r="H147" s="755" t="s">
        <v>4185</v>
      </c>
      <c r="I147" s="791"/>
      <c r="J147" s="791"/>
    </row>
    <row r="148" spans="1:10" s="37" customFormat="1">
      <c r="A148" s="831">
        <v>220</v>
      </c>
      <c r="B148" s="836">
        <v>500</v>
      </c>
      <c r="C148" s="836">
        <v>900</v>
      </c>
      <c r="D148" s="839">
        <v>100</v>
      </c>
      <c r="E148" s="843"/>
      <c r="F148" s="844"/>
      <c r="G148" s="841" t="s">
        <v>4641</v>
      </c>
      <c r="H148" s="792"/>
      <c r="I148" s="835">
        <v>567206</v>
      </c>
      <c r="J148" s="835">
        <v>571665</v>
      </c>
    </row>
    <row r="149" spans="1:10" s="37" customFormat="1">
      <c r="A149" s="831">
        <v>220</v>
      </c>
      <c r="B149" s="836">
        <v>500</v>
      </c>
      <c r="C149" s="836">
        <v>900</v>
      </c>
      <c r="D149" s="839">
        <v>900</v>
      </c>
      <c r="E149" s="839"/>
      <c r="F149" s="840"/>
      <c r="G149" s="841" t="s">
        <v>4640</v>
      </c>
      <c r="H149" s="755"/>
      <c r="I149" s="835"/>
      <c r="J149" s="835">
        <v>0</v>
      </c>
    </row>
    <row r="150" spans="1:10" s="37" customFormat="1">
      <c r="A150" s="831">
        <v>220</v>
      </c>
      <c r="B150" s="836">
        <v>500</v>
      </c>
      <c r="C150" s="836">
        <v>950</v>
      </c>
      <c r="D150" s="832"/>
      <c r="E150" s="832"/>
      <c r="F150" s="855"/>
      <c r="G150" s="869" t="s">
        <v>4642</v>
      </c>
      <c r="H150" s="755" t="s">
        <v>4187</v>
      </c>
      <c r="I150" s="835">
        <v>181172</v>
      </c>
      <c r="J150" s="835">
        <v>126932</v>
      </c>
    </row>
    <row r="151" spans="1:10" s="37" customFormat="1">
      <c r="A151" s="856">
        <v>230</v>
      </c>
      <c r="B151" s="857">
        <v>0</v>
      </c>
      <c r="C151" s="857">
        <v>0</v>
      </c>
      <c r="D151" s="857">
        <v>0</v>
      </c>
      <c r="E151" s="857">
        <v>0</v>
      </c>
      <c r="F151" s="858">
        <v>0</v>
      </c>
      <c r="G151" s="859" t="s">
        <v>3661</v>
      </c>
      <c r="H151" s="778"/>
      <c r="I151" s="850"/>
      <c r="J151" s="850"/>
    </row>
    <row r="152" spans="1:10" s="37" customFormat="1">
      <c r="A152" s="870">
        <v>230</v>
      </c>
      <c r="B152" s="839">
        <v>100</v>
      </c>
      <c r="C152" s="839"/>
      <c r="D152" s="839"/>
      <c r="E152" s="839"/>
      <c r="F152" s="840"/>
      <c r="G152" s="796" t="s">
        <v>4643</v>
      </c>
      <c r="H152" s="755" t="s">
        <v>4191</v>
      </c>
      <c r="I152" s="835"/>
      <c r="J152" s="835"/>
    </row>
    <row r="153" spans="1:10" s="749" customFormat="1">
      <c r="A153" s="870">
        <v>230</v>
      </c>
      <c r="B153" s="839">
        <v>200</v>
      </c>
      <c r="C153" s="839"/>
      <c r="D153" s="839"/>
      <c r="E153" s="839"/>
      <c r="F153" s="840"/>
      <c r="G153" s="796" t="s">
        <v>4644</v>
      </c>
      <c r="H153" s="755" t="s">
        <v>4193</v>
      </c>
      <c r="I153" s="835"/>
      <c r="J153" s="835"/>
    </row>
    <row r="154" spans="1:10" s="37" customFormat="1">
      <c r="A154" s="871">
        <v>230</v>
      </c>
      <c r="B154" s="839">
        <v>300</v>
      </c>
      <c r="C154" s="839"/>
      <c r="D154" s="832"/>
      <c r="E154" s="832"/>
      <c r="F154" s="855"/>
      <c r="G154" s="872" t="s">
        <v>4645</v>
      </c>
      <c r="H154" s="755" t="s">
        <v>4195</v>
      </c>
      <c r="I154" s="835"/>
      <c r="J154" s="835"/>
    </row>
    <row r="155" spans="1:10" s="37" customFormat="1">
      <c r="A155" s="856">
        <v>240</v>
      </c>
      <c r="B155" s="857">
        <v>0</v>
      </c>
      <c r="C155" s="857">
        <v>0</v>
      </c>
      <c r="D155" s="857">
        <v>0</v>
      </c>
      <c r="E155" s="857">
        <v>0</v>
      </c>
      <c r="F155" s="858">
        <v>0</v>
      </c>
      <c r="G155" s="859" t="s">
        <v>4646</v>
      </c>
      <c r="H155" s="778"/>
      <c r="I155" s="850"/>
      <c r="J155" s="850"/>
    </row>
    <row r="156" spans="1:10" s="37" customFormat="1">
      <c r="A156" s="870">
        <v>240</v>
      </c>
      <c r="B156" s="839">
        <v>50</v>
      </c>
      <c r="C156" s="839"/>
      <c r="D156" s="839"/>
      <c r="E156" s="839"/>
      <c r="F156" s="840"/>
      <c r="G156" s="796" t="s">
        <v>4647</v>
      </c>
      <c r="H156" s="755" t="s">
        <v>4199</v>
      </c>
      <c r="I156" s="835"/>
      <c r="J156" s="835"/>
    </row>
    <row r="157" spans="1:10" s="749" customFormat="1">
      <c r="A157" s="870">
        <v>240</v>
      </c>
      <c r="B157" s="836">
        <v>100</v>
      </c>
      <c r="C157" s="873"/>
      <c r="D157" s="836"/>
      <c r="E157" s="836"/>
      <c r="F157" s="837"/>
      <c r="G157" s="838" t="s">
        <v>4648</v>
      </c>
      <c r="H157" s="755" t="s">
        <v>4201</v>
      </c>
      <c r="I157" s="791"/>
      <c r="J157" s="791"/>
    </row>
    <row r="158" spans="1:10" s="37" customFormat="1">
      <c r="A158" s="870">
        <v>240</v>
      </c>
      <c r="B158" s="836">
        <v>100</v>
      </c>
      <c r="C158" s="874">
        <v>100</v>
      </c>
      <c r="D158" s="839"/>
      <c r="E158" s="839"/>
      <c r="F158" s="840"/>
      <c r="G158" s="796" t="s">
        <v>4649</v>
      </c>
      <c r="H158" s="755" t="s">
        <v>4203</v>
      </c>
      <c r="I158" s="835"/>
      <c r="J158" s="835"/>
    </row>
    <row r="159" spans="1:10" s="37" customFormat="1">
      <c r="A159" s="870">
        <v>240</v>
      </c>
      <c r="B159" s="836">
        <v>100</v>
      </c>
      <c r="C159" s="874">
        <v>200</v>
      </c>
      <c r="D159" s="839"/>
      <c r="E159" s="839"/>
      <c r="F159" s="840"/>
      <c r="G159" s="796" t="s">
        <v>4650</v>
      </c>
      <c r="H159" s="755" t="s">
        <v>4205</v>
      </c>
      <c r="I159" s="835"/>
      <c r="J159" s="835"/>
    </row>
    <row r="160" spans="1:10" s="37" customFormat="1">
      <c r="A160" s="870">
        <v>240</v>
      </c>
      <c r="B160" s="836">
        <v>100</v>
      </c>
      <c r="C160" s="874">
        <v>300</v>
      </c>
      <c r="D160" s="839"/>
      <c r="E160" s="839"/>
      <c r="F160" s="840"/>
      <c r="G160" s="796" t="s">
        <v>4651</v>
      </c>
      <c r="H160" s="755" t="s">
        <v>4207</v>
      </c>
      <c r="I160" s="835"/>
      <c r="J160" s="835"/>
    </row>
    <row r="161" spans="1:10" s="37" customFormat="1">
      <c r="A161" s="870">
        <v>240</v>
      </c>
      <c r="B161" s="836">
        <v>100</v>
      </c>
      <c r="C161" s="874">
        <v>400</v>
      </c>
      <c r="D161" s="839"/>
      <c r="E161" s="839"/>
      <c r="F161" s="840"/>
      <c r="G161" s="796" t="s">
        <v>4652</v>
      </c>
      <c r="H161" s="755" t="s">
        <v>4209</v>
      </c>
      <c r="I161" s="835"/>
      <c r="J161" s="835"/>
    </row>
    <row r="162" spans="1:10" s="37" customFormat="1">
      <c r="A162" s="870">
        <v>240</v>
      </c>
      <c r="B162" s="836">
        <v>100</v>
      </c>
      <c r="C162" s="873">
        <v>500</v>
      </c>
      <c r="D162" s="836"/>
      <c r="E162" s="836"/>
      <c r="F162" s="837"/>
      <c r="G162" s="838" t="s">
        <v>4653</v>
      </c>
      <c r="H162" s="755" t="s">
        <v>4211</v>
      </c>
      <c r="I162" s="791"/>
      <c r="J162" s="791"/>
    </row>
    <row r="163" spans="1:10" s="37" customFormat="1">
      <c r="A163" s="870">
        <v>240</v>
      </c>
      <c r="B163" s="836">
        <v>100</v>
      </c>
      <c r="C163" s="873">
        <v>500</v>
      </c>
      <c r="D163" s="839">
        <v>100</v>
      </c>
      <c r="E163" s="839"/>
      <c r="F163" s="840"/>
      <c r="G163" s="841" t="s">
        <v>4654</v>
      </c>
      <c r="H163" s="755"/>
      <c r="I163" s="835"/>
      <c r="J163" s="835"/>
    </row>
    <row r="164" spans="1:10" s="37" customFormat="1">
      <c r="A164" s="870">
        <v>240</v>
      </c>
      <c r="B164" s="836">
        <v>100</v>
      </c>
      <c r="C164" s="873">
        <v>500</v>
      </c>
      <c r="D164" s="839">
        <v>200</v>
      </c>
      <c r="E164" s="839"/>
      <c r="F164" s="840"/>
      <c r="G164" s="841" t="s">
        <v>4653</v>
      </c>
      <c r="H164" s="755"/>
      <c r="I164" s="835"/>
      <c r="J164" s="835"/>
    </row>
    <row r="165" spans="1:10" s="37" customFormat="1">
      <c r="A165" s="870">
        <v>240</v>
      </c>
      <c r="B165" s="836">
        <v>100</v>
      </c>
      <c r="C165" s="873">
        <v>500</v>
      </c>
      <c r="D165" s="839">
        <v>800</v>
      </c>
      <c r="E165" s="839"/>
      <c r="F165" s="840"/>
      <c r="G165" s="841" t="s">
        <v>4655</v>
      </c>
      <c r="H165" s="755"/>
      <c r="I165" s="835"/>
      <c r="J165" s="835"/>
    </row>
    <row r="166" spans="1:10" s="37" customFormat="1">
      <c r="A166" s="870">
        <v>240</v>
      </c>
      <c r="B166" s="836">
        <v>100</v>
      </c>
      <c r="C166" s="873">
        <v>500</v>
      </c>
      <c r="D166" s="839">
        <v>900</v>
      </c>
      <c r="E166" s="839"/>
      <c r="F166" s="840"/>
      <c r="G166" s="841" t="s">
        <v>4656</v>
      </c>
      <c r="H166" s="755"/>
      <c r="I166" s="835"/>
      <c r="J166" s="835"/>
    </row>
    <row r="167" spans="1:10" s="37" customFormat="1">
      <c r="A167" s="870">
        <v>240</v>
      </c>
      <c r="B167" s="836">
        <v>150</v>
      </c>
      <c r="C167" s="873"/>
      <c r="D167" s="836"/>
      <c r="E167" s="836"/>
      <c r="F167" s="837"/>
      <c r="G167" s="838" t="s">
        <v>4657</v>
      </c>
      <c r="H167" s="755"/>
      <c r="I167" s="791"/>
      <c r="J167" s="791"/>
    </row>
    <row r="168" spans="1:10" s="37" customFormat="1">
      <c r="A168" s="870">
        <v>240</v>
      </c>
      <c r="B168" s="836">
        <v>150</v>
      </c>
      <c r="C168" s="874">
        <v>100</v>
      </c>
      <c r="D168" s="839"/>
      <c r="E168" s="839"/>
      <c r="F168" s="840"/>
      <c r="G168" s="796" t="s">
        <v>4658</v>
      </c>
      <c r="H168" s="755" t="s">
        <v>4215</v>
      </c>
      <c r="I168" s="835"/>
      <c r="J168" s="835"/>
    </row>
    <row r="169" spans="1:10" s="37" customFormat="1">
      <c r="A169" s="870">
        <v>240</v>
      </c>
      <c r="B169" s="836">
        <v>150</v>
      </c>
      <c r="C169" s="874">
        <v>150</v>
      </c>
      <c r="D169" s="839"/>
      <c r="E169" s="839"/>
      <c r="F169" s="840"/>
      <c r="G169" s="796" t="s">
        <v>4659</v>
      </c>
      <c r="H169" s="755" t="s">
        <v>4217</v>
      </c>
      <c r="I169" s="835">
        <v>15626</v>
      </c>
      <c r="J169" s="835"/>
    </row>
    <row r="170" spans="1:10" s="37" customFormat="1" ht="25.5">
      <c r="A170" s="870">
        <v>240</v>
      </c>
      <c r="B170" s="836">
        <v>150</v>
      </c>
      <c r="C170" s="874">
        <v>200</v>
      </c>
      <c r="D170" s="839"/>
      <c r="E170" s="839"/>
      <c r="F170" s="840"/>
      <c r="G170" s="796" t="s">
        <v>4660</v>
      </c>
      <c r="H170" s="755" t="s">
        <v>4219</v>
      </c>
      <c r="I170" s="835"/>
      <c r="J170" s="835"/>
    </row>
    <row r="171" spans="1:10" s="37" customFormat="1" ht="25.5">
      <c r="A171" s="870">
        <v>240</v>
      </c>
      <c r="B171" s="836">
        <v>150</v>
      </c>
      <c r="C171" s="874">
        <v>300</v>
      </c>
      <c r="D171" s="839"/>
      <c r="E171" s="839"/>
      <c r="F171" s="840"/>
      <c r="G171" s="796" t="s">
        <v>4661</v>
      </c>
      <c r="H171" s="755" t="s">
        <v>4221</v>
      </c>
      <c r="I171" s="835"/>
      <c r="J171" s="835">
        <v>0</v>
      </c>
    </row>
    <row r="172" spans="1:10" s="37" customFormat="1" ht="25.5">
      <c r="A172" s="870">
        <v>240</v>
      </c>
      <c r="B172" s="836">
        <v>150</v>
      </c>
      <c r="C172" s="874">
        <v>350</v>
      </c>
      <c r="D172" s="839"/>
      <c r="E172" s="839"/>
      <c r="F172" s="840"/>
      <c r="G172" s="796" t="s">
        <v>4662</v>
      </c>
      <c r="H172" s="755" t="s">
        <v>4223</v>
      </c>
      <c r="I172" s="835"/>
      <c r="J172" s="835"/>
    </row>
    <row r="173" spans="1:10" s="37" customFormat="1">
      <c r="A173" s="870">
        <v>240</v>
      </c>
      <c r="B173" s="836">
        <v>150</v>
      </c>
      <c r="C173" s="874">
        <v>400</v>
      </c>
      <c r="D173" s="839"/>
      <c r="E173" s="839"/>
      <c r="F173" s="840"/>
      <c r="G173" s="796" t="s">
        <v>4663</v>
      </c>
      <c r="H173" s="755" t="s">
        <v>4225</v>
      </c>
      <c r="I173" s="835"/>
      <c r="J173" s="835"/>
    </row>
    <row r="174" spans="1:10" s="37" customFormat="1" ht="33" customHeight="1">
      <c r="A174" s="870">
        <v>240</v>
      </c>
      <c r="B174" s="836">
        <v>150</v>
      </c>
      <c r="C174" s="874">
        <v>410</v>
      </c>
      <c r="D174" s="839"/>
      <c r="E174" s="839"/>
      <c r="F174" s="840"/>
      <c r="G174" s="796" t="s">
        <v>4664</v>
      </c>
      <c r="H174" s="755" t="s">
        <v>4227</v>
      </c>
      <c r="I174" s="835"/>
      <c r="J174" s="835"/>
    </row>
    <row r="175" spans="1:10" s="37" customFormat="1">
      <c r="A175" s="870">
        <v>240</v>
      </c>
      <c r="B175" s="836">
        <v>150</v>
      </c>
      <c r="C175" s="874">
        <v>420</v>
      </c>
      <c r="D175" s="839"/>
      <c r="E175" s="839"/>
      <c r="F175" s="840"/>
      <c r="G175" s="796" t="s">
        <v>4665</v>
      </c>
      <c r="H175" s="755" t="s">
        <v>4229</v>
      </c>
      <c r="I175" s="835"/>
      <c r="J175" s="835"/>
    </row>
    <row r="176" spans="1:10" s="37" customFormat="1">
      <c r="A176" s="870">
        <v>240</v>
      </c>
      <c r="B176" s="836">
        <v>150</v>
      </c>
      <c r="C176" s="874">
        <v>430</v>
      </c>
      <c r="D176" s="839"/>
      <c r="E176" s="839"/>
      <c r="F176" s="840"/>
      <c r="G176" s="796" t="s">
        <v>4666</v>
      </c>
      <c r="H176" s="755" t="s">
        <v>4231</v>
      </c>
      <c r="I176" s="835"/>
      <c r="J176" s="835"/>
    </row>
    <row r="177" spans="1:10" s="37" customFormat="1">
      <c r="A177" s="870">
        <v>240</v>
      </c>
      <c r="B177" s="836">
        <v>150</v>
      </c>
      <c r="C177" s="873">
        <v>500</v>
      </c>
      <c r="D177" s="836"/>
      <c r="E177" s="836"/>
      <c r="F177" s="837"/>
      <c r="G177" s="796" t="s">
        <v>4667</v>
      </c>
      <c r="H177" s="755" t="s">
        <v>4233</v>
      </c>
      <c r="I177" s="791"/>
      <c r="J177" s="791"/>
    </row>
    <row r="178" spans="1:10" s="37" customFormat="1">
      <c r="A178" s="870">
        <v>240</v>
      </c>
      <c r="B178" s="836">
        <v>150</v>
      </c>
      <c r="C178" s="873">
        <v>500</v>
      </c>
      <c r="D178" s="839">
        <v>100</v>
      </c>
      <c r="E178" s="839"/>
      <c r="F178" s="840"/>
      <c r="G178" s="841" t="s">
        <v>4668</v>
      </c>
      <c r="H178" s="755"/>
      <c r="I178" s="835"/>
      <c r="J178" s="835"/>
    </row>
    <row r="179" spans="1:10" s="37" customFormat="1" ht="25.5">
      <c r="A179" s="870">
        <v>240</v>
      </c>
      <c r="B179" s="836">
        <v>150</v>
      </c>
      <c r="C179" s="873">
        <v>500</v>
      </c>
      <c r="D179" s="839">
        <v>200</v>
      </c>
      <c r="E179" s="839"/>
      <c r="F179" s="840"/>
      <c r="G179" s="841" t="s">
        <v>4669</v>
      </c>
      <c r="H179" s="755"/>
      <c r="I179" s="835"/>
      <c r="J179" s="835"/>
    </row>
    <row r="180" spans="1:10" s="37" customFormat="1">
      <c r="A180" s="870">
        <v>240</v>
      </c>
      <c r="B180" s="836">
        <v>150</v>
      </c>
      <c r="C180" s="873">
        <v>500</v>
      </c>
      <c r="D180" s="839">
        <v>300</v>
      </c>
      <c r="E180" s="839"/>
      <c r="F180" s="840"/>
      <c r="G180" s="841" t="s">
        <v>4667</v>
      </c>
      <c r="H180" s="755"/>
      <c r="I180" s="835"/>
      <c r="J180" s="835">
        <v>0</v>
      </c>
    </row>
    <row r="181" spans="1:10" s="37" customFormat="1">
      <c r="A181" s="870">
        <v>240</v>
      </c>
      <c r="B181" s="836">
        <v>150</v>
      </c>
      <c r="C181" s="873">
        <v>500</v>
      </c>
      <c r="D181" s="839">
        <v>800</v>
      </c>
      <c r="E181" s="839"/>
      <c r="F181" s="840"/>
      <c r="G181" s="841" t="s">
        <v>4670</v>
      </c>
      <c r="H181" s="755"/>
      <c r="I181" s="835"/>
      <c r="J181" s="835"/>
    </row>
    <row r="182" spans="1:10" s="37" customFormat="1">
      <c r="A182" s="870">
        <v>240</v>
      </c>
      <c r="B182" s="836">
        <v>150</v>
      </c>
      <c r="C182" s="873">
        <v>500</v>
      </c>
      <c r="D182" s="839">
        <v>900</v>
      </c>
      <c r="E182" s="839"/>
      <c r="F182" s="840"/>
      <c r="G182" s="841" t="s">
        <v>4655</v>
      </c>
      <c r="H182" s="755"/>
      <c r="I182" s="835"/>
      <c r="J182" s="835"/>
    </row>
    <row r="183" spans="1:10" s="37" customFormat="1">
      <c r="A183" s="870">
        <v>240</v>
      </c>
      <c r="B183" s="836">
        <v>200</v>
      </c>
      <c r="C183" s="836"/>
      <c r="D183" s="836"/>
      <c r="E183" s="836"/>
      <c r="F183" s="837"/>
      <c r="G183" s="838" t="s">
        <v>4671</v>
      </c>
      <c r="H183" s="755" t="s">
        <v>4235</v>
      </c>
      <c r="I183" s="791"/>
      <c r="J183" s="791"/>
    </row>
    <row r="184" spans="1:10" s="37" customFormat="1">
      <c r="A184" s="870">
        <v>240</v>
      </c>
      <c r="B184" s="836">
        <v>200</v>
      </c>
      <c r="C184" s="839">
        <v>100</v>
      </c>
      <c r="D184" s="839"/>
      <c r="E184" s="839"/>
      <c r="F184" s="840"/>
      <c r="G184" s="841" t="s">
        <v>4672</v>
      </c>
      <c r="H184" s="755"/>
      <c r="I184" s="835"/>
      <c r="J184" s="835"/>
    </row>
    <row r="185" spans="1:10" s="37" customFormat="1">
      <c r="A185" s="870">
        <v>240</v>
      </c>
      <c r="B185" s="836">
        <v>200</v>
      </c>
      <c r="C185" s="839">
        <v>200</v>
      </c>
      <c r="D185" s="839"/>
      <c r="E185" s="839"/>
      <c r="F185" s="840"/>
      <c r="G185" s="841" t="s">
        <v>4673</v>
      </c>
      <c r="H185" s="755"/>
      <c r="I185" s="835"/>
      <c r="J185" s="835"/>
    </row>
    <row r="186" spans="1:10" s="37" customFormat="1">
      <c r="A186" s="870">
        <v>240</v>
      </c>
      <c r="B186" s="836">
        <v>200</v>
      </c>
      <c r="C186" s="839">
        <v>800</v>
      </c>
      <c r="D186" s="839"/>
      <c r="E186" s="839"/>
      <c r="F186" s="840"/>
      <c r="G186" s="841" t="s">
        <v>4670</v>
      </c>
      <c r="H186" s="755"/>
      <c r="I186" s="835"/>
      <c r="J186" s="835"/>
    </row>
    <row r="187" spans="1:10" s="37" customFormat="1">
      <c r="A187" s="870">
        <v>240</v>
      </c>
      <c r="B187" s="836">
        <v>200</v>
      </c>
      <c r="C187" s="839">
        <v>900</v>
      </c>
      <c r="D187" s="839"/>
      <c r="E187" s="839"/>
      <c r="F187" s="840"/>
      <c r="G187" s="841" t="s">
        <v>4655</v>
      </c>
      <c r="H187" s="755"/>
      <c r="I187" s="835"/>
      <c r="J187" s="835"/>
    </row>
    <row r="188" spans="1:10" s="37" customFormat="1">
      <c r="A188" s="870">
        <v>240</v>
      </c>
      <c r="B188" s="836">
        <v>250</v>
      </c>
      <c r="C188" s="836"/>
      <c r="D188" s="836"/>
      <c r="E188" s="836"/>
      <c r="F188" s="837"/>
      <c r="G188" s="838" t="s">
        <v>4674</v>
      </c>
      <c r="H188" s="755" t="s">
        <v>4237</v>
      </c>
      <c r="I188" s="791"/>
      <c r="J188" s="791"/>
    </row>
    <row r="189" spans="1:10" s="37" customFormat="1">
      <c r="A189" s="870">
        <v>240</v>
      </c>
      <c r="B189" s="836">
        <v>250</v>
      </c>
      <c r="C189" s="836">
        <v>100</v>
      </c>
      <c r="D189" s="836"/>
      <c r="E189" s="836"/>
      <c r="F189" s="837"/>
      <c r="G189" s="838" t="s">
        <v>4675</v>
      </c>
      <c r="H189" s="755" t="s">
        <v>4239</v>
      </c>
      <c r="I189" s="791"/>
      <c r="J189" s="791"/>
    </row>
    <row r="190" spans="1:10" s="37" customFormat="1">
      <c r="A190" s="870">
        <v>240</v>
      </c>
      <c r="B190" s="836">
        <v>250</v>
      </c>
      <c r="C190" s="836">
        <v>100</v>
      </c>
      <c r="D190" s="839">
        <v>100</v>
      </c>
      <c r="E190" s="839"/>
      <c r="F190" s="840"/>
      <c r="G190" s="796" t="s">
        <v>4676</v>
      </c>
      <c r="H190" s="755" t="s">
        <v>4241</v>
      </c>
      <c r="I190" s="835"/>
      <c r="J190" s="835"/>
    </row>
    <row r="191" spans="1:10" s="37" customFormat="1" ht="25.5">
      <c r="A191" s="870">
        <v>240</v>
      </c>
      <c r="B191" s="836">
        <v>250</v>
      </c>
      <c r="C191" s="836">
        <v>100</v>
      </c>
      <c r="D191" s="839">
        <v>200</v>
      </c>
      <c r="E191" s="839"/>
      <c r="F191" s="840"/>
      <c r="G191" s="796" t="s">
        <v>4677</v>
      </c>
      <c r="H191" s="755" t="s">
        <v>4243</v>
      </c>
      <c r="I191" s="835"/>
      <c r="J191" s="835"/>
    </row>
    <row r="192" spans="1:10" s="37" customFormat="1" ht="25.5">
      <c r="A192" s="870">
        <v>240</v>
      </c>
      <c r="B192" s="836">
        <v>250</v>
      </c>
      <c r="C192" s="836">
        <v>100</v>
      </c>
      <c r="D192" s="839">
        <v>300</v>
      </c>
      <c r="E192" s="839"/>
      <c r="F192" s="840"/>
      <c r="G192" s="796" t="s">
        <v>4678</v>
      </c>
      <c r="H192" s="755" t="s">
        <v>4245</v>
      </c>
      <c r="I192" s="835"/>
      <c r="J192" s="835"/>
    </row>
    <row r="193" spans="1:10" s="37" customFormat="1" ht="25.5">
      <c r="A193" s="870">
        <v>240</v>
      </c>
      <c r="B193" s="836">
        <v>250</v>
      </c>
      <c r="C193" s="836">
        <v>100</v>
      </c>
      <c r="D193" s="839">
        <v>400</v>
      </c>
      <c r="E193" s="839"/>
      <c r="F193" s="840"/>
      <c r="G193" s="796" t="s">
        <v>4679</v>
      </c>
      <c r="H193" s="755" t="s">
        <v>4247</v>
      </c>
      <c r="I193" s="812">
        <v>183223</v>
      </c>
      <c r="J193" s="835">
        <v>0</v>
      </c>
    </row>
    <row r="194" spans="1:10" s="37" customFormat="1" ht="25.5">
      <c r="A194" s="870">
        <v>240</v>
      </c>
      <c r="B194" s="836">
        <v>250</v>
      </c>
      <c r="C194" s="836">
        <v>100</v>
      </c>
      <c r="D194" s="836">
        <v>500</v>
      </c>
      <c r="E194" s="836"/>
      <c r="F194" s="837"/>
      <c r="G194" s="838" t="s">
        <v>4680</v>
      </c>
      <c r="H194" s="755" t="s">
        <v>4249</v>
      </c>
      <c r="I194" s="791"/>
      <c r="J194" s="791"/>
    </row>
    <row r="195" spans="1:10" s="37" customFormat="1" ht="25.5">
      <c r="A195" s="870">
        <v>240</v>
      </c>
      <c r="B195" s="836">
        <v>250</v>
      </c>
      <c r="C195" s="836">
        <v>100</v>
      </c>
      <c r="D195" s="836">
        <v>500</v>
      </c>
      <c r="E195" s="839">
        <v>10</v>
      </c>
      <c r="F195" s="840"/>
      <c r="G195" s="841" t="s">
        <v>4680</v>
      </c>
      <c r="H195" s="755"/>
      <c r="I195" s="835">
        <v>3343306</v>
      </c>
      <c r="J195" s="835">
        <v>2755499</v>
      </c>
    </row>
    <row r="196" spans="1:10" s="37" customFormat="1">
      <c r="A196" s="870">
        <v>240</v>
      </c>
      <c r="B196" s="836">
        <v>250</v>
      </c>
      <c r="C196" s="836">
        <v>100</v>
      </c>
      <c r="D196" s="836">
        <v>500</v>
      </c>
      <c r="E196" s="839">
        <v>80</v>
      </c>
      <c r="F196" s="840"/>
      <c r="G196" s="841" t="s">
        <v>4670</v>
      </c>
      <c r="H196" s="755"/>
      <c r="I196" s="835">
        <v>245919</v>
      </c>
      <c r="J196" s="835">
        <v>211696</v>
      </c>
    </row>
    <row r="197" spans="1:10" s="37" customFormat="1">
      <c r="A197" s="870">
        <v>240</v>
      </c>
      <c r="B197" s="836">
        <v>250</v>
      </c>
      <c r="C197" s="836">
        <v>100</v>
      </c>
      <c r="D197" s="836">
        <v>500</v>
      </c>
      <c r="E197" s="839">
        <v>90</v>
      </c>
      <c r="F197" s="840"/>
      <c r="G197" s="841" t="s">
        <v>4655</v>
      </c>
      <c r="H197" s="755"/>
      <c r="I197" s="835"/>
      <c r="J197" s="835"/>
    </row>
    <row r="198" spans="1:10" s="37" customFormat="1">
      <c r="A198" s="870">
        <v>240</v>
      </c>
      <c r="B198" s="836">
        <v>250</v>
      </c>
      <c r="C198" s="836">
        <v>100</v>
      </c>
      <c r="D198" s="836">
        <v>600</v>
      </c>
      <c r="E198" s="836"/>
      <c r="F198" s="837"/>
      <c r="G198" s="838" t="s">
        <v>4681</v>
      </c>
      <c r="H198" s="755" t="s">
        <v>4251</v>
      </c>
      <c r="I198" s="791"/>
      <c r="J198" s="791"/>
    </row>
    <row r="199" spans="1:10" s="37" customFormat="1">
      <c r="A199" s="870">
        <v>240</v>
      </c>
      <c r="B199" s="836">
        <v>250</v>
      </c>
      <c r="C199" s="836">
        <v>100</v>
      </c>
      <c r="D199" s="836">
        <v>600</v>
      </c>
      <c r="E199" s="839">
        <v>10</v>
      </c>
      <c r="F199" s="840"/>
      <c r="G199" s="841" t="s">
        <v>4682</v>
      </c>
      <c r="H199" s="755"/>
      <c r="I199" s="812">
        <v>5500659</v>
      </c>
      <c r="J199" s="835">
        <v>6279895</v>
      </c>
    </row>
    <row r="200" spans="1:10" s="37" customFormat="1">
      <c r="A200" s="870">
        <v>240</v>
      </c>
      <c r="B200" s="836">
        <v>250</v>
      </c>
      <c r="C200" s="836">
        <v>100</v>
      </c>
      <c r="D200" s="836">
        <v>600</v>
      </c>
      <c r="E200" s="839">
        <v>80</v>
      </c>
      <c r="F200" s="840"/>
      <c r="G200" s="841" t="s">
        <v>4670</v>
      </c>
      <c r="H200" s="755"/>
      <c r="I200" s="835">
        <v>-5981</v>
      </c>
      <c r="J200" s="835">
        <v>5098</v>
      </c>
    </row>
    <row r="201" spans="1:10" s="37" customFormat="1">
      <c r="A201" s="870">
        <v>240</v>
      </c>
      <c r="B201" s="836">
        <v>250</v>
      </c>
      <c r="C201" s="836">
        <v>100</v>
      </c>
      <c r="D201" s="836">
        <v>600</v>
      </c>
      <c r="E201" s="839">
        <v>90</v>
      </c>
      <c r="F201" s="840"/>
      <c r="G201" s="841" t="s">
        <v>4655</v>
      </c>
      <c r="H201" s="755"/>
      <c r="I201" s="835"/>
      <c r="J201" s="835"/>
    </row>
    <row r="202" spans="1:10" s="37" customFormat="1" ht="25.5">
      <c r="A202" s="870">
        <v>240</v>
      </c>
      <c r="B202" s="836">
        <v>250</v>
      </c>
      <c r="C202" s="836">
        <v>100</v>
      </c>
      <c r="D202" s="836">
        <v>700</v>
      </c>
      <c r="E202" s="839"/>
      <c r="F202" s="840"/>
      <c r="G202" s="841" t="s">
        <v>4683</v>
      </c>
      <c r="H202" s="755" t="s">
        <v>4253</v>
      </c>
      <c r="I202" s="835"/>
      <c r="J202" s="835"/>
    </row>
    <row r="203" spans="1:10" s="37" customFormat="1" ht="25.5">
      <c r="A203" s="870">
        <v>240</v>
      </c>
      <c r="B203" s="836">
        <v>250</v>
      </c>
      <c r="C203" s="836">
        <v>100</v>
      </c>
      <c r="D203" s="836">
        <v>800</v>
      </c>
      <c r="E203" s="839"/>
      <c r="F203" s="840"/>
      <c r="G203" s="841" t="s">
        <v>4684</v>
      </c>
      <c r="H203" s="755" t="s">
        <v>4255</v>
      </c>
      <c r="I203" s="835"/>
      <c r="J203" s="835"/>
    </row>
    <row r="204" spans="1:10" s="37" customFormat="1" ht="25.5">
      <c r="A204" s="870">
        <v>240</v>
      </c>
      <c r="B204" s="836">
        <v>250</v>
      </c>
      <c r="C204" s="836">
        <v>100</v>
      </c>
      <c r="D204" s="836">
        <v>900</v>
      </c>
      <c r="E204" s="839"/>
      <c r="F204" s="840"/>
      <c r="G204" s="841" t="s">
        <v>4685</v>
      </c>
      <c r="H204" s="755" t="s">
        <v>4257</v>
      </c>
      <c r="I204" s="835"/>
      <c r="J204" s="835"/>
    </row>
    <row r="205" spans="1:10" s="37" customFormat="1">
      <c r="A205" s="870">
        <v>240</v>
      </c>
      <c r="B205" s="836">
        <v>250</v>
      </c>
      <c r="C205" s="836">
        <v>200</v>
      </c>
      <c r="D205" s="836"/>
      <c r="E205" s="836"/>
      <c r="F205" s="837"/>
      <c r="G205" s="838" t="s">
        <v>4686</v>
      </c>
      <c r="H205" s="755" t="s">
        <v>4259</v>
      </c>
      <c r="I205" s="791"/>
      <c r="J205" s="791"/>
    </row>
    <row r="206" spans="1:10" s="37" customFormat="1">
      <c r="A206" s="870">
        <v>240</v>
      </c>
      <c r="B206" s="836">
        <v>250</v>
      </c>
      <c r="C206" s="836">
        <v>200</v>
      </c>
      <c r="D206" s="839">
        <v>100</v>
      </c>
      <c r="E206" s="839"/>
      <c r="F206" s="840"/>
      <c r="G206" s="841" t="s">
        <v>4687</v>
      </c>
      <c r="H206" s="755"/>
      <c r="I206" s="835">
        <v>121088</v>
      </c>
      <c r="J206" s="835">
        <v>45416</v>
      </c>
    </row>
    <row r="207" spans="1:10" s="37" customFormat="1">
      <c r="A207" s="870">
        <v>240</v>
      </c>
      <c r="B207" s="836">
        <v>250</v>
      </c>
      <c r="C207" s="836">
        <v>200</v>
      </c>
      <c r="D207" s="839">
        <v>800</v>
      </c>
      <c r="E207" s="839"/>
      <c r="F207" s="840"/>
      <c r="G207" s="841" t="s">
        <v>4670</v>
      </c>
      <c r="H207" s="755"/>
      <c r="I207" s="835">
        <v>28909</v>
      </c>
      <c r="J207" s="835">
        <v>54958</v>
      </c>
    </row>
    <row r="208" spans="1:10" s="37" customFormat="1">
      <c r="A208" s="870">
        <v>240</v>
      </c>
      <c r="B208" s="836">
        <v>250</v>
      </c>
      <c r="C208" s="836">
        <v>200</v>
      </c>
      <c r="D208" s="839">
        <v>900</v>
      </c>
      <c r="E208" s="839"/>
      <c r="F208" s="840"/>
      <c r="G208" s="841" t="s">
        <v>4655</v>
      </c>
      <c r="H208" s="755"/>
      <c r="I208" s="835">
        <v>-8</v>
      </c>
      <c r="J208" s="835"/>
    </row>
    <row r="209" spans="1:10" s="37" customFormat="1" ht="25.5">
      <c r="A209" s="870">
        <v>240</v>
      </c>
      <c r="B209" s="836">
        <v>250</v>
      </c>
      <c r="C209" s="836">
        <v>300</v>
      </c>
      <c r="D209" s="836"/>
      <c r="E209" s="836"/>
      <c r="F209" s="837"/>
      <c r="G209" s="838" t="s">
        <v>4688</v>
      </c>
      <c r="H209" s="755" t="s">
        <v>4261</v>
      </c>
      <c r="I209" s="791"/>
      <c r="J209" s="791"/>
    </row>
    <row r="210" spans="1:10" s="37" customFormat="1" ht="25.5">
      <c r="A210" s="870">
        <v>240</v>
      </c>
      <c r="B210" s="836">
        <v>250</v>
      </c>
      <c r="C210" s="836">
        <v>300</v>
      </c>
      <c r="D210" s="839">
        <v>100</v>
      </c>
      <c r="E210" s="839"/>
      <c r="F210" s="840"/>
      <c r="G210" s="841" t="s">
        <v>4689</v>
      </c>
      <c r="H210" s="755" t="s">
        <v>4263</v>
      </c>
      <c r="I210" s="835"/>
      <c r="J210" s="835"/>
    </row>
    <row r="211" spans="1:10" s="37" customFormat="1" ht="25.5">
      <c r="A211" s="870">
        <v>240</v>
      </c>
      <c r="B211" s="836">
        <v>250</v>
      </c>
      <c r="C211" s="836">
        <v>300</v>
      </c>
      <c r="D211" s="839">
        <v>200</v>
      </c>
      <c r="E211" s="839"/>
      <c r="F211" s="840"/>
      <c r="G211" s="841" t="s">
        <v>4690</v>
      </c>
      <c r="H211" s="755" t="s">
        <v>4265</v>
      </c>
      <c r="I211" s="835"/>
      <c r="J211" s="835"/>
    </row>
    <row r="212" spans="1:10" s="37" customFormat="1" ht="25.5">
      <c r="A212" s="870">
        <v>240</v>
      </c>
      <c r="B212" s="836">
        <v>250</v>
      </c>
      <c r="C212" s="836">
        <v>300</v>
      </c>
      <c r="D212" s="839">
        <v>300</v>
      </c>
      <c r="E212" s="839"/>
      <c r="F212" s="840"/>
      <c r="G212" s="841" t="s">
        <v>4691</v>
      </c>
      <c r="H212" s="755" t="s">
        <v>4267</v>
      </c>
      <c r="I212" s="835"/>
      <c r="J212" s="835"/>
    </row>
    <row r="213" spans="1:10" s="37" customFormat="1" ht="38.25">
      <c r="A213" s="870">
        <v>240</v>
      </c>
      <c r="B213" s="836">
        <v>250</v>
      </c>
      <c r="C213" s="836">
        <v>300</v>
      </c>
      <c r="D213" s="839">
        <v>400</v>
      </c>
      <c r="E213" s="839"/>
      <c r="F213" s="840"/>
      <c r="G213" s="841" t="s">
        <v>4692</v>
      </c>
      <c r="H213" s="755" t="s">
        <v>4269</v>
      </c>
      <c r="I213" s="835"/>
      <c r="J213" s="835"/>
    </row>
    <row r="214" spans="1:10" s="37" customFormat="1" ht="25.5">
      <c r="A214" s="870">
        <v>240</v>
      </c>
      <c r="B214" s="836">
        <v>250</v>
      </c>
      <c r="C214" s="836">
        <v>300</v>
      </c>
      <c r="D214" s="839">
        <v>500</v>
      </c>
      <c r="E214" s="839"/>
      <c r="F214" s="840"/>
      <c r="G214" s="841" t="s">
        <v>4693</v>
      </c>
      <c r="H214" s="755" t="s">
        <v>4271</v>
      </c>
      <c r="I214" s="835"/>
      <c r="J214" s="835"/>
    </row>
    <row r="215" spans="1:10" s="37" customFormat="1">
      <c r="A215" s="870">
        <v>240</v>
      </c>
      <c r="B215" s="836">
        <v>300</v>
      </c>
      <c r="C215" s="836"/>
      <c r="D215" s="836"/>
      <c r="E215" s="836"/>
      <c r="F215" s="837"/>
      <c r="G215" s="838" t="s">
        <v>4694</v>
      </c>
      <c r="H215" s="755"/>
      <c r="I215" s="791"/>
      <c r="J215" s="791"/>
    </row>
    <row r="216" spans="1:10" s="37" customFormat="1">
      <c r="A216" s="870">
        <v>240</v>
      </c>
      <c r="B216" s="836">
        <v>300</v>
      </c>
      <c r="C216" s="839">
        <v>100</v>
      </c>
      <c r="D216" s="839"/>
      <c r="E216" s="839"/>
      <c r="F216" s="840"/>
      <c r="G216" s="796" t="s">
        <v>4695</v>
      </c>
      <c r="H216" s="755" t="s">
        <v>4275</v>
      </c>
      <c r="I216" s="835"/>
      <c r="J216" s="835"/>
    </row>
    <row r="217" spans="1:10" s="37" customFormat="1">
      <c r="A217" s="870">
        <v>240</v>
      </c>
      <c r="B217" s="836">
        <v>300</v>
      </c>
      <c r="C217" s="839">
        <v>200</v>
      </c>
      <c r="D217" s="839"/>
      <c r="E217" s="839"/>
      <c r="F217" s="840"/>
      <c r="G217" s="796" t="s">
        <v>4696</v>
      </c>
      <c r="H217" s="755" t="s">
        <v>4277</v>
      </c>
      <c r="I217" s="835"/>
      <c r="J217" s="835"/>
    </row>
    <row r="218" spans="1:10" s="37" customFormat="1">
      <c r="A218" s="870">
        <v>240</v>
      </c>
      <c r="B218" s="836">
        <v>300</v>
      </c>
      <c r="C218" s="836">
        <v>300</v>
      </c>
      <c r="D218" s="836"/>
      <c r="E218" s="836"/>
      <c r="F218" s="837"/>
      <c r="G218" s="838" t="s">
        <v>4697</v>
      </c>
      <c r="H218" s="755" t="s">
        <v>4279</v>
      </c>
      <c r="I218" s="791"/>
      <c r="J218" s="791"/>
    </row>
    <row r="219" spans="1:10" s="37" customFormat="1">
      <c r="A219" s="870">
        <v>240</v>
      </c>
      <c r="B219" s="836">
        <v>300</v>
      </c>
      <c r="C219" s="836">
        <v>300</v>
      </c>
      <c r="D219" s="839">
        <v>100</v>
      </c>
      <c r="E219" s="839"/>
      <c r="F219" s="840"/>
      <c r="G219" s="841" t="s">
        <v>4697</v>
      </c>
      <c r="H219" s="755"/>
      <c r="I219" s="835"/>
      <c r="J219" s="835"/>
    </row>
    <row r="220" spans="1:10" s="37" customFormat="1">
      <c r="A220" s="870">
        <v>240</v>
      </c>
      <c r="B220" s="836">
        <v>300</v>
      </c>
      <c r="C220" s="836">
        <v>300</v>
      </c>
      <c r="D220" s="839">
        <v>800</v>
      </c>
      <c r="E220" s="839"/>
      <c r="F220" s="840"/>
      <c r="G220" s="841" t="s">
        <v>4670</v>
      </c>
      <c r="H220" s="755"/>
      <c r="I220" s="835">
        <v>77</v>
      </c>
      <c r="J220" s="835">
        <v>77</v>
      </c>
    </row>
    <row r="221" spans="1:10" s="37" customFormat="1">
      <c r="A221" s="870">
        <v>240</v>
      </c>
      <c r="B221" s="836">
        <v>300</v>
      </c>
      <c r="C221" s="836">
        <v>300</v>
      </c>
      <c r="D221" s="839">
        <v>900</v>
      </c>
      <c r="E221" s="839"/>
      <c r="F221" s="840"/>
      <c r="G221" s="841" t="s">
        <v>4655</v>
      </c>
      <c r="H221" s="755"/>
      <c r="I221" s="835"/>
      <c r="J221" s="835"/>
    </row>
    <row r="222" spans="1:10" s="37" customFormat="1">
      <c r="A222" s="870">
        <v>240</v>
      </c>
      <c r="B222" s="836">
        <v>350</v>
      </c>
      <c r="C222" s="836"/>
      <c r="D222" s="836"/>
      <c r="E222" s="836"/>
      <c r="F222" s="837"/>
      <c r="G222" s="838" t="s">
        <v>4698</v>
      </c>
      <c r="H222" s="755"/>
      <c r="I222" s="791"/>
      <c r="J222" s="791"/>
    </row>
    <row r="223" spans="1:10" s="37" customFormat="1">
      <c r="A223" s="870">
        <v>240</v>
      </c>
      <c r="B223" s="836">
        <v>350</v>
      </c>
      <c r="C223" s="836">
        <v>100</v>
      </c>
      <c r="D223" s="836"/>
      <c r="E223" s="836"/>
      <c r="F223" s="837"/>
      <c r="G223" s="838" t="s">
        <v>4699</v>
      </c>
      <c r="H223" s="755" t="s">
        <v>4283</v>
      </c>
      <c r="I223" s="791"/>
      <c r="J223" s="791"/>
    </row>
    <row r="224" spans="1:10" s="37" customFormat="1" ht="25.5">
      <c r="A224" s="870"/>
      <c r="B224" s="836"/>
      <c r="C224" s="836"/>
      <c r="D224" s="839"/>
      <c r="E224" s="839"/>
      <c r="F224" s="840"/>
      <c r="G224" s="841" t="s">
        <v>4699</v>
      </c>
      <c r="H224" s="755" t="s">
        <v>4285</v>
      </c>
      <c r="I224" s="791"/>
      <c r="J224" s="791"/>
    </row>
    <row r="225" spans="1:10" s="37" customFormat="1" ht="25.5">
      <c r="A225" s="870">
        <v>240</v>
      </c>
      <c r="B225" s="836">
        <v>350</v>
      </c>
      <c r="C225" s="836">
        <v>100</v>
      </c>
      <c r="D225" s="839">
        <v>100</v>
      </c>
      <c r="E225" s="839"/>
      <c r="F225" s="840"/>
      <c r="G225" s="841" t="s">
        <v>4699</v>
      </c>
      <c r="H225" s="755" t="s">
        <v>4285</v>
      </c>
      <c r="I225" s="835"/>
      <c r="J225" s="835"/>
    </row>
    <row r="226" spans="1:10" s="37" customFormat="1">
      <c r="A226" s="870">
        <v>240</v>
      </c>
      <c r="B226" s="836">
        <v>350</v>
      </c>
      <c r="C226" s="836">
        <v>100</v>
      </c>
      <c r="D226" s="839">
        <v>800</v>
      </c>
      <c r="E226" s="839"/>
      <c r="F226" s="840"/>
      <c r="G226" s="841" t="s">
        <v>4670</v>
      </c>
      <c r="H226" s="755" t="s">
        <v>4285</v>
      </c>
      <c r="I226" s="835"/>
      <c r="J226" s="835"/>
    </row>
    <row r="227" spans="1:10" s="37" customFormat="1">
      <c r="A227" s="870">
        <v>240</v>
      </c>
      <c r="B227" s="836">
        <v>350</v>
      </c>
      <c r="C227" s="836">
        <v>100</v>
      </c>
      <c r="D227" s="839">
        <v>900</v>
      </c>
      <c r="E227" s="839"/>
      <c r="F227" s="840"/>
      <c r="G227" s="841" t="s">
        <v>4700</v>
      </c>
      <c r="H227" s="755" t="s">
        <v>4287</v>
      </c>
      <c r="I227" s="835"/>
      <c r="J227" s="835"/>
    </row>
    <row r="228" spans="1:10" s="37" customFormat="1">
      <c r="A228" s="870">
        <v>240</v>
      </c>
      <c r="B228" s="836">
        <v>350</v>
      </c>
      <c r="C228" s="836">
        <v>200</v>
      </c>
      <c r="D228" s="836"/>
      <c r="E228" s="836"/>
      <c r="F228" s="837"/>
      <c r="G228" s="838" t="s">
        <v>4701</v>
      </c>
      <c r="H228" s="755" t="s">
        <v>4289</v>
      </c>
      <c r="I228" s="791"/>
      <c r="J228" s="791"/>
    </row>
    <row r="229" spans="1:10" s="37" customFormat="1">
      <c r="A229" s="870"/>
      <c r="B229" s="836"/>
      <c r="C229" s="836"/>
      <c r="D229" s="839"/>
      <c r="E229" s="836"/>
      <c r="F229" s="837"/>
      <c r="G229" s="838" t="s">
        <v>4701</v>
      </c>
      <c r="H229" s="755" t="s">
        <v>4291</v>
      </c>
      <c r="I229" s="791"/>
      <c r="J229" s="791"/>
    </row>
    <row r="230" spans="1:10" s="37" customFormat="1">
      <c r="A230" s="870">
        <v>240</v>
      </c>
      <c r="B230" s="836">
        <v>350</v>
      </c>
      <c r="C230" s="836">
        <v>200</v>
      </c>
      <c r="D230" s="839">
        <v>100</v>
      </c>
      <c r="E230" s="839"/>
      <c r="F230" s="840"/>
      <c r="G230" s="841" t="s">
        <v>4702</v>
      </c>
      <c r="H230" s="755" t="s">
        <v>4291</v>
      </c>
      <c r="I230" s="812">
        <v>4219992</v>
      </c>
      <c r="J230" s="835">
        <v>4006505</v>
      </c>
    </row>
    <row r="231" spans="1:10" s="37" customFormat="1">
      <c r="A231" s="870">
        <v>240</v>
      </c>
      <c r="B231" s="836">
        <v>350</v>
      </c>
      <c r="C231" s="836">
        <v>200</v>
      </c>
      <c r="D231" s="839">
        <v>200</v>
      </c>
      <c r="E231" s="839"/>
      <c r="F231" s="840"/>
      <c r="G231" s="841" t="s">
        <v>4703</v>
      </c>
      <c r="H231" s="755" t="s">
        <v>4291</v>
      </c>
      <c r="I231" s="835">
        <v>1423732</v>
      </c>
      <c r="J231" s="835">
        <v>1900031</v>
      </c>
    </row>
    <row r="232" spans="1:10" s="37" customFormat="1">
      <c r="A232" s="870">
        <v>240</v>
      </c>
      <c r="B232" s="836">
        <v>350</v>
      </c>
      <c r="C232" s="836">
        <v>200</v>
      </c>
      <c r="D232" s="839">
        <v>400</v>
      </c>
      <c r="E232" s="839"/>
      <c r="F232" s="840"/>
      <c r="G232" s="841" t="s">
        <v>4704</v>
      </c>
      <c r="H232" s="755" t="s">
        <v>4291</v>
      </c>
      <c r="I232" s="835"/>
      <c r="J232" s="835"/>
    </row>
    <row r="233" spans="1:10" s="37" customFormat="1">
      <c r="A233" s="870">
        <v>240</v>
      </c>
      <c r="B233" s="836">
        <v>350</v>
      </c>
      <c r="C233" s="836">
        <v>200</v>
      </c>
      <c r="D233" s="839">
        <v>500</v>
      </c>
      <c r="E233" s="839"/>
      <c r="F233" s="840"/>
      <c r="G233" s="841" t="s">
        <v>4705</v>
      </c>
      <c r="H233" s="755" t="s">
        <v>4291</v>
      </c>
      <c r="I233" s="835"/>
      <c r="J233" s="835"/>
    </row>
    <row r="234" spans="1:10" s="37" customFormat="1">
      <c r="A234" s="870">
        <v>240</v>
      </c>
      <c r="B234" s="836">
        <v>350</v>
      </c>
      <c r="C234" s="836">
        <v>200</v>
      </c>
      <c r="D234" s="839">
        <v>600</v>
      </c>
      <c r="E234" s="839"/>
      <c r="F234" s="840"/>
      <c r="G234" s="841" t="s">
        <v>4706</v>
      </c>
      <c r="H234" s="755" t="s">
        <v>4291</v>
      </c>
      <c r="I234" s="835"/>
      <c r="J234" s="835"/>
    </row>
    <row r="235" spans="1:10" s="37" customFormat="1">
      <c r="A235" s="870">
        <v>240</v>
      </c>
      <c r="B235" s="836">
        <v>350</v>
      </c>
      <c r="C235" s="836">
        <v>200</v>
      </c>
      <c r="D235" s="839">
        <v>800</v>
      </c>
      <c r="E235" s="839"/>
      <c r="F235" s="840"/>
      <c r="G235" s="841" t="s">
        <v>4670</v>
      </c>
      <c r="H235" s="755" t="s">
        <v>4291</v>
      </c>
      <c r="I235" s="835">
        <v>3673875</v>
      </c>
      <c r="J235" s="835">
        <v>5151229</v>
      </c>
    </row>
    <row r="236" spans="1:10" s="37" customFormat="1">
      <c r="A236" s="870">
        <v>240</v>
      </c>
      <c r="B236" s="836">
        <v>350</v>
      </c>
      <c r="C236" s="836">
        <v>200</v>
      </c>
      <c r="D236" s="836">
        <v>900</v>
      </c>
      <c r="E236" s="836"/>
      <c r="F236" s="837"/>
      <c r="G236" s="851" t="s">
        <v>4707</v>
      </c>
      <c r="H236" s="755" t="s">
        <v>4293</v>
      </c>
      <c r="I236" s="835">
        <v>-354295</v>
      </c>
      <c r="J236" s="835">
        <v>-431001</v>
      </c>
    </row>
    <row r="237" spans="1:10" s="37" customFormat="1">
      <c r="A237" s="870">
        <v>240</v>
      </c>
      <c r="B237" s="836">
        <v>400</v>
      </c>
      <c r="C237" s="836"/>
      <c r="D237" s="836"/>
      <c r="E237" s="836"/>
      <c r="F237" s="837"/>
      <c r="G237" s="838" t="s">
        <v>4708</v>
      </c>
      <c r="H237" s="755" t="s">
        <v>4295</v>
      </c>
      <c r="I237" s="791"/>
      <c r="J237" s="791"/>
    </row>
    <row r="238" spans="1:10" s="37" customFormat="1">
      <c r="A238" s="870">
        <v>240</v>
      </c>
      <c r="B238" s="836">
        <v>400</v>
      </c>
      <c r="C238" s="839">
        <v>100</v>
      </c>
      <c r="D238" s="839"/>
      <c r="E238" s="839"/>
      <c r="F238" s="840"/>
      <c r="G238" s="841" t="s">
        <v>4709</v>
      </c>
      <c r="H238" s="755"/>
      <c r="I238" s="804"/>
      <c r="J238" s="804"/>
    </row>
    <row r="239" spans="1:10" s="37" customFormat="1">
      <c r="A239" s="870">
        <v>240</v>
      </c>
      <c r="B239" s="836">
        <v>400</v>
      </c>
      <c r="C239" s="839">
        <v>200</v>
      </c>
      <c r="D239" s="839"/>
      <c r="E239" s="839"/>
      <c r="F239" s="840"/>
      <c r="G239" s="841" t="s">
        <v>4710</v>
      </c>
      <c r="H239" s="755"/>
      <c r="I239" s="804"/>
      <c r="J239" s="804"/>
    </row>
    <row r="240" spans="1:10" s="37" customFormat="1">
      <c r="A240" s="870">
        <v>240</v>
      </c>
      <c r="B240" s="836">
        <v>450</v>
      </c>
      <c r="C240" s="836"/>
      <c r="D240" s="836"/>
      <c r="E240" s="836"/>
      <c r="F240" s="837"/>
      <c r="G240" s="838" t="s">
        <v>4711</v>
      </c>
      <c r="H240" s="755" t="s">
        <v>4297</v>
      </c>
      <c r="I240" s="791"/>
      <c r="J240" s="791"/>
    </row>
    <row r="241" spans="1:10" s="37" customFormat="1">
      <c r="A241" s="870">
        <v>240</v>
      </c>
      <c r="B241" s="836">
        <v>450</v>
      </c>
      <c r="C241" s="839">
        <v>100</v>
      </c>
      <c r="D241" s="839"/>
      <c r="E241" s="839"/>
      <c r="F241" s="840"/>
      <c r="G241" s="841" t="s">
        <v>114</v>
      </c>
      <c r="H241" s="755"/>
      <c r="I241" s="804"/>
      <c r="J241" s="804"/>
    </row>
    <row r="242" spans="1:10" s="37" customFormat="1">
      <c r="A242" s="870">
        <v>240</v>
      </c>
      <c r="B242" s="836">
        <v>450</v>
      </c>
      <c r="C242" s="839">
        <v>200</v>
      </c>
      <c r="D242" s="839"/>
      <c r="E242" s="839"/>
      <c r="F242" s="840"/>
      <c r="G242" s="841" t="s">
        <v>109</v>
      </c>
      <c r="H242" s="755"/>
      <c r="I242" s="804">
        <v>537738</v>
      </c>
      <c r="J242" s="804">
        <v>480974</v>
      </c>
    </row>
    <row r="243" spans="1:10" s="37" customFormat="1">
      <c r="A243" s="870">
        <v>240</v>
      </c>
      <c r="B243" s="836">
        <v>450</v>
      </c>
      <c r="C243" s="839">
        <v>300</v>
      </c>
      <c r="D243" s="839"/>
      <c r="E243" s="839"/>
      <c r="F243" s="840"/>
      <c r="G243" s="841" t="s">
        <v>4712</v>
      </c>
      <c r="H243" s="755"/>
      <c r="I243" s="804">
        <v>1292050</v>
      </c>
      <c r="J243" s="804">
        <v>1246530</v>
      </c>
    </row>
    <row r="244" spans="1:10" s="37" customFormat="1">
      <c r="A244" s="870">
        <v>240</v>
      </c>
      <c r="B244" s="836">
        <v>450</v>
      </c>
      <c r="C244" s="839">
        <v>400</v>
      </c>
      <c r="D244" s="839"/>
      <c r="E244" s="839"/>
      <c r="F244" s="840"/>
      <c r="G244" s="841" t="s">
        <v>4713</v>
      </c>
      <c r="H244" s="755"/>
      <c r="I244" s="804">
        <v>443375</v>
      </c>
      <c r="J244" s="804">
        <v>329677</v>
      </c>
    </row>
    <row r="245" spans="1:10" s="37" customFormat="1">
      <c r="A245" s="870">
        <v>240</v>
      </c>
      <c r="B245" s="836">
        <v>450</v>
      </c>
      <c r="C245" s="839">
        <v>500</v>
      </c>
      <c r="D245" s="839"/>
      <c r="E245" s="839"/>
      <c r="F245" s="840"/>
      <c r="G245" s="841" t="s">
        <v>4714</v>
      </c>
      <c r="H245" s="755"/>
      <c r="I245" s="804"/>
      <c r="J245" s="804"/>
    </row>
    <row r="246" spans="1:10" s="37" customFormat="1">
      <c r="A246" s="870">
        <v>240</v>
      </c>
      <c r="B246" s="836">
        <v>450</v>
      </c>
      <c r="C246" s="839">
        <v>600</v>
      </c>
      <c r="D246" s="839"/>
      <c r="E246" s="839"/>
      <c r="F246" s="840"/>
      <c r="G246" s="841" t="s">
        <v>4715</v>
      </c>
      <c r="H246" s="755"/>
      <c r="I246" s="804"/>
      <c r="J246" s="804"/>
    </row>
    <row r="247" spans="1:10" s="37" customFormat="1">
      <c r="A247" s="870">
        <v>240</v>
      </c>
      <c r="B247" s="836">
        <v>450</v>
      </c>
      <c r="C247" s="839">
        <v>700</v>
      </c>
      <c r="D247" s="839"/>
      <c r="E247" s="839"/>
      <c r="F247" s="840"/>
      <c r="G247" s="841" t="s">
        <v>4716</v>
      </c>
      <c r="H247" s="755"/>
      <c r="I247" s="804"/>
      <c r="J247" s="804"/>
    </row>
    <row r="248" spans="1:10" s="37" customFormat="1">
      <c r="A248" s="870">
        <v>240</v>
      </c>
      <c r="B248" s="836">
        <v>450</v>
      </c>
      <c r="C248" s="839">
        <v>800</v>
      </c>
      <c r="D248" s="839"/>
      <c r="E248" s="839"/>
      <c r="F248" s="840"/>
      <c r="G248" s="841" t="s">
        <v>4717</v>
      </c>
      <c r="H248" s="755"/>
      <c r="I248" s="804">
        <v>107289</v>
      </c>
      <c r="J248" s="804">
        <v>140814</v>
      </c>
    </row>
    <row r="249" spans="1:10" s="37" customFormat="1">
      <c r="A249" s="870">
        <v>240</v>
      </c>
      <c r="B249" s="836">
        <v>450</v>
      </c>
      <c r="C249" s="839">
        <v>900</v>
      </c>
      <c r="D249" s="839"/>
      <c r="E249" s="839"/>
      <c r="F249" s="840"/>
      <c r="G249" s="841" t="s">
        <v>4718</v>
      </c>
      <c r="H249" s="755"/>
      <c r="I249" s="804">
        <v>10784</v>
      </c>
      <c r="J249" s="804">
        <v>122</v>
      </c>
    </row>
    <row r="250" spans="1:10" s="37" customFormat="1">
      <c r="A250" s="870">
        <v>240</v>
      </c>
      <c r="B250" s="836">
        <v>500</v>
      </c>
      <c r="C250" s="836"/>
      <c r="D250" s="836"/>
      <c r="E250" s="836"/>
      <c r="F250" s="837"/>
      <c r="G250" s="838" t="s">
        <v>4719</v>
      </c>
      <c r="H250" s="755" t="s">
        <v>4299</v>
      </c>
      <c r="I250" s="791"/>
      <c r="J250" s="791"/>
    </row>
    <row r="251" spans="1:10" s="37" customFormat="1">
      <c r="A251" s="870">
        <v>240</v>
      </c>
      <c r="B251" s="836">
        <v>500</v>
      </c>
      <c r="C251" s="839">
        <v>100</v>
      </c>
      <c r="D251" s="839"/>
      <c r="E251" s="839"/>
      <c r="F251" s="840"/>
      <c r="G251" s="841" t="s">
        <v>4720</v>
      </c>
      <c r="H251" s="755"/>
      <c r="I251" s="804">
        <v>1969894</v>
      </c>
      <c r="J251" s="804">
        <v>1847780</v>
      </c>
    </row>
    <row r="252" spans="1:10" s="37" customFormat="1">
      <c r="A252" s="870">
        <v>240</v>
      </c>
      <c r="B252" s="836">
        <v>500</v>
      </c>
      <c r="C252" s="839">
        <v>200</v>
      </c>
      <c r="D252" s="839"/>
      <c r="E252" s="839"/>
      <c r="F252" s="840"/>
      <c r="G252" s="841" t="s">
        <v>4721</v>
      </c>
      <c r="H252" s="755"/>
      <c r="I252" s="804">
        <v>8026</v>
      </c>
      <c r="J252" s="804">
        <v>11104</v>
      </c>
    </row>
    <row r="253" spans="1:10" s="37" customFormat="1">
      <c r="A253" s="870">
        <v>240</v>
      </c>
      <c r="B253" s="836">
        <v>500</v>
      </c>
      <c r="C253" s="839">
        <v>300</v>
      </c>
      <c r="D253" s="839"/>
      <c r="E253" s="839"/>
      <c r="F253" s="840"/>
      <c r="G253" s="841" t="s">
        <v>4722</v>
      </c>
      <c r="H253" s="755"/>
      <c r="I253" s="804">
        <v>40178</v>
      </c>
      <c r="J253" s="804">
        <v>6216</v>
      </c>
    </row>
    <row r="254" spans="1:10" s="37" customFormat="1">
      <c r="A254" s="870">
        <v>240</v>
      </c>
      <c r="B254" s="836">
        <v>500</v>
      </c>
      <c r="C254" s="839">
        <v>400</v>
      </c>
      <c r="D254" s="839"/>
      <c r="E254" s="839"/>
      <c r="F254" s="840"/>
      <c r="G254" s="841" t="s">
        <v>4723</v>
      </c>
      <c r="H254" s="755"/>
      <c r="I254" s="804"/>
      <c r="J254" s="804"/>
    </row>
    <row r="255" spans="1:10" s="37" customFormat="1">
      <c r="A255" s="870">
        <v>240</v>
      </c>
      <c r="B255" s="836">
        <v>500</v>
      </c>
      <c r="C255" s="839">
        <v>500</v>
      </c>
      <c r="D255" s="839"/>
      <c r="E255" s="839"/>
      <c r="F255" s="840"/>
      <c r="G255" s="841" t="s">
        <v>4724</v>
      </c>
      <c r="H255" s="755"/>
      <c r="I255" s="804"/>
      <c r="J255" s="804"/>
    </row>
    <row r="256" spans="1:10" s="37" customFormat="1">
      <c r="A256" s="870">
        <v>240</v>
      </c>
      <c r="B256" s="836">
        <v>500</v>
      </c>
      <c r="C256" s="839">
        <v>600</v>
      </c>
      <c r="D256" s="839"/>
      <c r="E256" s="839"/>
      <c r="F256" s="840"/>
      <c r="G256" s="841" t="s">
        <v>4725</v>
      </c>
      <c r="H256" s="755"/>
      <c r="I256" s="804">
        <v>19012</v>
      </c>
      <c r="J256" s="804">
        <v>17442</v>
      </c>
    </row>
    <row r="257" spans="1:10" s="37" customFormat="1">
      <c r="A257" s="870">
        <v>240</v>
      </c>
      <c r="B257" s="836">
        <v>500</v>
      </c>
      <c r="C257" s="839">
        <v>700</v>
      </c>
      <c r="D257" s="839"/>
      <c r="E257" s="839"/>
      <c r="F257" s="840"/>
      <c r="G257" s="841" t="s">
        <v>4726</v>
      </c>
      <c r="H257" s="755"/>
      <c r="I257" s="804"/>
      <c r="J257" s="804"/>
    </row>
    <row r="258" spans="1:10" s="37" customFormat="1">
      <c r="A258" s="870">
        <v>240</v>
      </c>
      <c r="B258" s="836">
        <v>500</v>
      </c>
      <c r="C258" s="839">
        <v>800</v>
      </c>
      <c r="D258" s="839"/>
      <c r="E258" s="839"/>
      <c r="F258" s="840"/>
      <c r="G258" s="841" t="s">
        <v>4727</v>
      </c>
      <c r="H258" s="755"/>
      <c r="I258" s="804"/>
      <c r="J258" s="804"/>
    </row>
    <row r="259" spans="1:10" s="37" customFormat="1">
      <c r="A259" s="870">
        <v>240</v>
      </c>
      <c r="B259" s="836">
        <v>500</v>
      </c>
      <c r="C259" s="839">
        <v>900</v>
      </c>
      <c r="D259" s="839"/>
      <c r="E259" s="839"/>
      <c r="F259" s="840"/>
      <c r="G259" s="841" t="s">
        <v>4728</v>
      </c>
      <c r="H259" s="755"/>
      <c r="I259" s="804">
        <v>24702</v>
      </c>
      <c r="J259" s="804">
        <v>135</v>
      </c>
    </row>
    <row r="260" spans="1:10" s="37" customFormat="1">
      <c r="A260" s="870">
        <v>240</v>
      </c>
      <c r="B260" s="836">
        <v>550</v>
      </c>
      <c r="C260" s="836"/>
      <c r="D260" s="836"/>
      <c r="E260" s="836"/>
      <c r="F260" s="837"/>
      <c r="G260" s="838" t="s">
        <v>4729</v>
      </c>
      <c r="H260" s="755"/>
      <c r="I260" s="791"/>
      <c r="J260" s="791"/>
    </row>
    <row r="261" spans="1:10" s="37" customFormat="1">
      <c r="A261" s="870">
        <v>240</v>
      </c>
      <c r="B261" s="836">
        <v>550</v>
      </c>
      <c r="C261" s="839">
        <v>100</v>
      </c>
      <c r="D261" s="839"/>
      <c r="E261" s="839"/>
      <c r="F261" s="840"/>
      <c r="G261" s="796" t="s">
        <v>4730</v>
      </c>
      <c r="H261" s="755" t="s">
        <v>4303</v>
      </c>
      <c r="I261" s="804"/>
      <c r="J261" s="804"/>
    </row>
    <row r="262" spans="1:10" s="37" customFormat="1">
      <c r="A262" s="870">
        <v>240</v>
      </c>
      <c r="B262" s="836">
        <v>550</v>
      </c>
      <c r="C262" s="836">
        <v>200</v>
      </c>
      <c r="D262" s="836"/>
      <c r="E262" s="836"/>
      <c r="F262" s="837"/>
      <c r="G262" s="838" t="s">
        <v>4731</v>
      </c>
      <c r="H262" s="755" t="s">
        <v>4305</v>
      </c>
      <c r="I262" s="791"/>
      <c r="J262" s="791"/>
    </row>
    <row r="263" spans="1:10" s="37" customFormat="1">
      <c r="A263" s="870">
        <v>240</v>
      </c>
      <c r="B263" s="836">
        <v>550</v>
      </c>
      <c r="C263" s="836">
        <v>200</v>
      </c>
      <c r="D263" s="839">
        <v>100</v>
      </c>
      <c r="E263" s="839"/>
      <c r="F263" s="840"/>
      <c r="G263" s="841" t="s">
        <v>4732</v>
      </c>
      <c r="H263" s="755"/>
      <c r="I263" s="804">
        <v>1071295</v>
      </c>
      <c r="J263" s="804">
        <v>749954</v>
      </c>
    </row>
    <row r="264" spans="1:10" s="37" customFormat="1">
      <c r="A264" s="870">
        <v>240</v>
      </c>
      <c r="B264" s="836">
        <v>550</v>
      </c>
      <c r="C264" s="836">
        <v>200</v>
      </c>
      <c r="D264" s="839">
        <v>200</v>
      </c>
      <c r="E264" s="839"/>
      <c r="F264" s="840"/>
      <c r="G264" s="841" t="s">
        <v>4733</v>
      </c>
      <c r="H264" s="755"/>
      <c r="I264" s="804">
        <v>3410219</v>
      </c>
      <c r="J264" s="804">
        <v>2672240</v>
      </c>
    </row>
    <row r="265" spans="1:10" s="37" customFormat="1">
      <c r="A265" s="870">
        <v>240</v>
      </c>
      <c r="B265" s="836">
        <v>550</v>
      </c>
      <c r="C265" s="836">
        <v>300</v>
      </c>
      <c r="D265" s="836"/>
      <c r="E265" s="836"/>
      <c r="F265" s="837"/>
      <c r="G265" s="838" t="s">
        <v>4734</v>
      </c>
      <c r="H265" s="755" t="s">
        <v>4307</v>
      </c>
      <c r="I265" s="791"/>
      <c r="J265" s="791"/>
    </row>
    <row r="266" spans="1:10" s="37" customFormat="1">
      <c r="A266" s="870">
        <v>240</v>
      </c>
      <c r="B266" s="836">
        <v>550</v>
      </c>
      <c r="C266" s="836">
        <v>300</v>
      </c>
      <c r="D266" s="839">
        <v>100</v>
      </c>
      <c r="E266" s="839"/>
      <c r="F266" s="840"/>
      <c r="G266" s="841" t="s">
        <v>4735</v>
      </c>
      <c r="H266" s="773"/>
      <c r="I266" s="804"/>
      <c r="J266" s="804"/>
    </row>
    <row r="267" spans="1:10" s="37" customFormat="1">
      <c r="A267" s="870">
        <v>240</v>
      </c>
      <c r="B267" s="836">
        <v>550</v>
      </c>
      <c r="C267" s="836">
        <v>300</v>
      </c>
      <c r="D267" s="839">
        <v>200</v>
      </c>
      <c r="E267" s="839"/>
      <c r="F267" s="840"/>
      <c r="G267" s="841" t="s">
        <v>4736</v>
      </c>
      <c r="H267" s="773"/>
      <c r="I267" s="804"/>
      <c r="J267" s="804"/>
    </row>
    <row r="268" spans="1:10" s="37" customFormat="1">
      <c r="A268" s="870">
        <v>240</v>
      </c>
      <c r="B268" s="836">
        <v>550</v>
      </c>
      <c r="C268" s="836">
        <v>400</v>
      </c>
      <c r="D268" s="836"/>
      <c r="E268" s="836"/>
      <c r="F268" s="837"/>
      <c r="G268" s="838" t="s">
        <v>4737</v>
      </c>
      <c r="H268" s="755" t="s">
        <v>4309</v>
      </c>
      <c r="I268" s="791"/>
      <c r="J268" s="791"/>
    </row>
    <row r="269" spans="1:10" s="37" customFormat="1">
      <c r="A269" s="870">
        <v>240</v>
      </c>
      <c r="B269" s="836">
        <v>550</v>
      </c>
      <c r="C269" s="836">
        <v>400</v>
      </c>
      <c r="D269" s="839">
        <v>50</v>
      </c>
      <c r="E269" s="839"/>
      <c r="F269" s="840"/>
      <c r="G269" s="841" t="s">
        <v>4738</v>
      </c>
      <c r="H269" s="792"/>
      <c r="I269" s="804"/>
      <c r="J269" s="804"/>
    </row>
    <row r="270" spans="1:10" s="37" customFormat="1">
      <c r="A270" s="870">
        <v>240</v>
      </c>
      <c r="B270" s="836">
        <v>550</v>
      </c>
      <c r="C270" s="836">
        <v>400</v>
      </c>
      <c r="D270" s="839">
        <v>100</v>
      </c>
      <c r="E270" s="839"/>
      <c r="F270" s="840"/>
      <c r="G270" s="841" t="s">
        <v>4739</v>
      </c>
      <c r="H270" s="755"/>
      <c r="I270" s="804"/>
      <c r="J270" s="804"/>
    </row>
    <row r="271" spans="1:10" s="37" customFormat="1">
      <c r="A271" s="870">
        <v>240</v>
      </c>
      <c r="B271" s="836">
        <v>550</v>
      </c>
      <c r="C271" s="836">
        <v>400</v>
      </c>
      <c r="D271" s="839">
        <v>150</v>
      </c>
      <c r="E271" s="839"/>
      <c r="F271" s="840"/>
      <c r="G271" s="841" t="s">
        <v>4740</v>
      </c>
      <c r="H271" s="755"/>
      <c r="I271" s="804"/>
      <c r="J271" s="804"/>
    </row>
    <row r="272" spans="1:10" s="37" customFormat="1">
      <c r="A272" s="870">
        <v>240</v>
      </c>
      <c r="B272" s="836">
        <v>550</v>
      </c>
      <c r="C272" s="836">
        <v>400</v>
      </c>
      <c r="D272" s="839">
        <v>200</v>
      </c>
      <c r="E272" s="839"/>
      <c r="F272" s="840"/>
      <c r="G272" s="841" t="s">
        <v>4741</v>
      </c>
      <c r="H272" s="755"/>
      <c r="I272" s="804"/>
      <c r="J272" s="804">
        <v>0</v>
      </c>
    </row>
    <row r="273" spans="1:10" s="37" customFormat="1">
      <c r="A273" s="870">
        <v>240</v>
      </c>
      <c r="B273" s="836">
        <v>550</v>
      </c>
      <c r="C273" s="836">
        <v>400</v>
      </c>
      <c r="D273" s="836">
        <v>250</v>
      </c>
      <c r="E273" s="836"/>
      <c r="F273" s="837"/>
      <c r="G273" s="851" t="s">
        <v>4742</v>
      </c>
      <c r="H273" s="755"/>
      <c r="I273" s="791"/>
      <c r="J273" s="791"/>
    </row>
    <row r="274" spans="1:10" s="37" customFormat="1">
      <c r="A274" s="870">
        <v>240</v>
      </c>
      <c r="B274" s="836">
        <v>550</v>
      </c>
      <c r="C274" s="836">
        <v>400</v>
      </c>
      <c r="D274" s="836">
        <v>250</v>
      </c>
      <c r="E274" s="839">
        <v>10</v>
      </c>
      <c r="F274" s="840"/>
      <c r="G274" s="841" t="s">
        <v>4742</v>
      </c>
      <c r="H274" s="755"/>
      <c r="I274" s="804"/>
      <c r="J274" s="804"/>
    </row>
    <row r="275" spans="1:10" s="37" customFormat="1">
      <c r="A275" s="870">
        <v>240</v>
      </c>
      <c r="B275" s="836">
        <v>550</v>
      </c>
      <c r="C275" s="836">
        <v>400</v>
      </c>
      <c r="D275" s="836">
        <v>250</v>
      </c>
      <c r="E275" s="839">
        <v>20</v>
      </c>
      <c r="F275" s="840"/>
      <c r="G275" s="841" t="s">
        <v>4743</v>
      </c>
      <c r="H275" s="755"/>
      <c r="I275" s="804"/>
      <c r="J275" s="804"/>
    </row>
    <row r="276" spans="1:10" s="37" customFormat="1">
      <c r="A276" s="870">
        <v>240</v>
      </c>
      <c r="B276" s="836">
        <v>550</v>
      </c>
      <c r="C276" s="836">
        <v>400</v>
      </c>
      <c r="D276" s="839">
        <v>300</v>
      </c>
      <c r="E276" s="839"/>
      <c r="F276" s="840"/>
      <c r="G276" s="841" t="s">
        <v>4744</v>
      </c>
      <c r="H276" s="755"/>
      <c r="I276" s="804"/>
      <c r="J276" s="804"/>
    </row>
    <row r="277" spans="1:10" s="37" customFormat="1">
      <c r="A277" s="870">
        <v>240</v>
      </c>
      <c r="B277" s="836">
        <v>550</v>
      </c>
      <c r="C277" s="836">
        <v>400</v>
      </c>
      <c r="D277" s="839">
        <v>350</v>
      </c>
      <c r="E277" s="839"/>
      <c r="F277" s="840"/>
      <c r="G277" s="841" t="s">
        <v>4745</v>
      </c>
      <c r="H277" s="755"/>
      <c r="I277" s="804">
        <v>37886</v>
      </c>
      <c r="J277" s="804">
        <v>33037</v>
      </c>
    </row>
    <row r="278" spans="1:10" s="37" customFormat="1">
      <c r="A278" s="870">
        <v>240</v>
      </c>
      <c r="B278" s="836">
        <v>550</v>
      </c>
      <c r="C278" s="836">
        <v>400</v>
      </c>
      <c r="D278" s="839">
        <v>400</v>
      </c>
      <c r="E278" s="839"/>
      <c r="F278" s="840"/>
      <c r="G278" s="841" t="s">
        <v>4746</v>
      </c>
      <c r="H278" s="755"/>
      <c r="I278" s="804" t="s">
        <v>3694</v>
      </c>
      <c r="J278" s="804"/>
    </row>
    <row r="279" spans="1:10" s="37" customFormat="1">
      <c r="A279" s="870">
        <v>240</v>
      </c>
      <c r="B279" s="836">
        <v>550</v>
      </c>
      <c r="C279" s="836">
        <v>400</v>
      </c>
      <c r="D279" s="836">
        <v>450</v>
      </c>
      <c r="E279" s="836"/>
      <c r="F279" s="837"/>
      <c r="G279" s="851" t="s">
        <v>4747</v>
      </c>
      <c r="H279" s="755"/>
      <c r="I279" s="791"/>
      <c r="J279" s="791"/>
    </row>
    <row r="280" spans="1:10" s="37" customFormat="1">
      <c r="A280" s="870">
        <v>240</v>
      </c>
      <c r="B280" s="836">
        <v>550</v>
      </c>
      <c r="C280" s="836">
        <v>400</v>
      </c>
      <c r="D280" s="836">
        <v>450</v>
      </c>
      <c r="E280" s="839">
        <v>10</v>
      </c>
      <c r="F280" s="840"/>
      <c r="G280" s="841" t="s">
        <v>4747</v>
      </c>
      <c r="H280" s="755"/>
      <c r="I280" s="804"/>
      <c r="J280" s="804"/>
    </row>
    <row r="281" spans="1:10" s="37" customFormat="1">
      <c r="A281" s="870">
        <v>240</v>
      </c>
      <c r="B281" s="836">
        <v>550</v>
      </c>
      <c r="C281" s="836">
        <v>400</v>
      </c>
      <c r="D281" s="836">
        <v>450</v>
      </c>
      <c r="E281" s="839">
        <v>20</v>
      </c>
      <c r="F281" s="840"/>
      <c r="G281" s="841" t="s">
        <v>4748</v>
      </c>
      <c r="H281" s="755"/>
      <c r="I281" s="804">
        <v>389329</v>
      </c>
      <c r="J281" s="804">
        <v>487120</v>
      </c>
    </row>
    <row r="282" spans="1:10" s="37" customFormat="1">
      <c r="A282" s="870">
        <v>240</v>
      </c>
      <c r="B282" s="836">
        <v>550</v>
      </c>
      <c r="C282" s="836">
        <v>400</v>
      </c>
      <c r="D282" s="839">
        <v>500</v>
      </c>
      <c r="E282" s="839"/>
      <c r="F282" s="840"/>
      <c r="G282" s="841" t="s">
        <v>4749</v>
      </c>
      <c r="H282" s="755"/>
      <c r="I282" s="804">
        <v>779992</v>
      </c>
      <c r="J282" s="804">
        <v>566178</v>
      </c>
    </row>
    <row r="283" spans="1:10" s="37" customFormat="1">
      <c r="A283" s="870">
        <v>240</v>
      </c>
      <c r="B283" s="836">
        <v>550</v>
      </c>
      <c r="C283" s="836">
        <v>400</v>
      </c>
      <c r="D283" s="839">
        <v>600</v>
      </c>
      <c r="E283" s="839"/>
      <c r="F283" s="840"/>
      <c r="G283" s="841" t="s">
        <v>3630</v>
      </c>
      <c r="H283" s="755"/>
      <c r="I283" s="804">
        <v>175471</v>
      </c>
      <c r="J283" s="804">
        <v>164065</v>
      </c>
    </row>
    <row r="284" spans="1:10" s="37" customFormat="1">
      <c r="A284" s="870">
        <v>240</v>
      </c>
      <c r="B284" s="836">
        <v>550</v>
      </c>
      <c r="C284" s="836">
        <v>400</v>
      </c>
      <c r="D284" s="836">
        <v>700</v>
      </c>
      <c r="E284" s="836"/>
      <c r="F284" s="837"/>
      <c r="G284" s="851" t="s">
        <v>4750</v>
      </c>
      <c r="H284" s="755"/>
      <c r="I284" s="791"/>
      <c r="J284" s="791"/>
    </row>
    <row r="285" spans="1:10" s="37" customFormat="1">
      <c r="A285" s="870">
        <v>240</v>
      </c>
      <c r="B285" s="836">
        <v>550</v>
      </c>
      <c r="C285" s="836">
        <v>400</v>
      </c>
      <c r="D285" s="836">
        <v>700</v>
      </c>
      <c r="E285" s="839">
        <v>10</v>
      </c>
      <c r="F285" s="840"/>
      <c r="G285" s="841" t="s">
        <v>4654</v>
      </c>
      <c r="H285" s="755"/>
      <c r="I285" s="804"/>
      <c r="J285" s="804"/>
    </row>
    <row r="286" spans="1:10" s="37" customFormat="1">
      <c r="A286" s="870">
        <v>240</v>
      </c>
      <c r="B286" s="836">
        <v>550</v>
      </c>
      <c r="C286" s="836">
        <v>400</v>
      </c>
      <c r="D286" s="836">
        <v>700</v>
      </c>
      <c r="E286" s="839">
        <v>20</v>
      </c>
      <c r="F286" s="840"/>
      <c r="G286" s="841" t="s">
        <v>4750</v>
      </c>
      <c r="H286" s="755"/>
      <c r="I286" s="804">
        <v>48398</v>
      </c>
      <c r="J286" s="804">
        <v>35583</v>
      </c>
    </row>
    <row r="287" spans="1:10" s="37" customFormat="1">
      <c r="A287" s="870">
        <v>240</v>
      </c>
      <c r="B287" s="836">
        <v>550</v>
      </c>
      <c r="C287" s="836">
        <v>400</v>
      </c>
      <c r="D287" s="839">
        <v>800</v>
      </c>
      <c r="E287" s="839"/>
      <c r="F287" s="840"/>
      <c r="G287" s="841" t="s">
        <v>4670</v>
      </c>
      <c r="H287" s="755"/>
      <c r="I287" s="804">
        <v>1206</v>
      </c>
      <c r="J287" s="804">
        <v>1034</v>
      </c>
    </row>
    <row r="288" spans="1:10" s="37" customFormat="1">
      <c r="A288" s="870">
        <v>240</v>
      </c>
      <c r="B288" s="836">
        <v>550</v>
      </c>
      <c r="C288" s="836">
        <v>400</v>
      </c>
      <c r="D288" s="839">
        <v>900</v>
      </c>
      <c r="E288" s="839"/>
      <c r="F288" s="840"/>
      <c r="G288" s="841" t="s">
        <v>4655</v>
      </c>
      <c r="H288" s="755"/>
      <c r="I288" s="804"/>
      <c r="J288" s="804"/>
    </row>
    <row r="289" spans="1:13" s="37" customFormat="1">
      <c r="A289" s="856">
        <v>250</v>
      </c>
      <c r="B289" s="857">
        <v>0</v>
      </c>
      <c r="C289" s="857">
        <v>0</v>
      </c>
      <c r="D289" s="857">
        <v>0</v>
      </c>
      <c r="E289" s="857">
        <v>0</v>
      </c>
      <c r="F289" s="858">
        <v>0</v>
      </c>
      <c r="G289" s="859" t="s">
        <v>3688</v>
      </c>
      <c r="H289" s="778"/>
      <c r="I289" s="850"/>
      <c r="J289" s="850"/>
    </row>
    <row r="290" spans="1:13" s="37" customFormat="1">
      <c r="A290" s="870">
        <v>250</v>
      </c>
      <c r="B290" s="836">
        <v>100</v>
      </c>
      <c r="C290" s="836"/>
      <c r="D290" s="836"/>
      <c r="E290" s="836"/>
      <c r="F290" s="837"/>
      <c r="G290" s="838" t="s">
        <v>4751</v>
      </c>
      <c r="H290" s="755"/>
      <c r="I290" s="791"/>
      <c r="J290" s="791"/>
    </row>
    <row r="291" spans="1:13" s="37" customFormat="1">
      <c r="A291" s="870">
        <v>250</v>
      </c>
      <c r="B291" s="836">
        <v>100</v>
      </c>
      <c r="C291" s="839">
        <v>100</v>
      </c>
      <c r="D291" s="839"/>
      <c r="E291" s="839"/>
      <c r="F291" s="840"/>
      <c r="G291" s="796" t="s">
        <v>3689</v>
      </c>
      <c r="H291" s="755" t="s">
        <v>4315</v>
      </c>
      <c r="I291" s="804">
        <v>15795</v>
      </c>
      <c r="J291" s="804"/>
    </row>
    <row r="292" spans="1:13" s="37" customFormat="1">
      <c r="A292" s="870">
        <v>250</v>
      </c>
      <c r="B292" s="836">
        <v>100</v>
      </c>
      <c r="C292" s="839">
        <v>200</v>
      </c>
      <c r="D292" s="839"/>
      <c r="E292" s="839"/>
      <c r="F292" s="840"/>
      <c r="G292" s="796" t="s">
        <v>4752</v>
      </c>
      <c r="H292" s="755" t="s">
        <v>4317</v>
      </c>
      <c r="I292" s="804"/>
      <c r="J292" s="804"/>
    </row>
    <row r="293" spans="1:13" s="749" customFormat="1">
      <c r="A293" s="870">
        <v>250</v>
      </c>
      <c r="B293" s="836">
        <v>200</v>
      </c>
      <c r="C293" s="839"/>
      <c r="D293" s="839"/>
      <c r="E293" s="839"/>
      <c r="F293" s="840"/>
      <c r="G293" s="838" t="s">
        <v>4753</v>
      </c>
      <c r="H293" s="755"/>
      <c r="I293" s="791"/>
      <c r="J293" s="791"/>
    </row>
    <row r="294" spans="1:13" s="37" customFormat="1">
      <c r="A294" s="870">
        <v>250</v>
      </c>
      <c r="B294" s="836">
        <v>200</v>
      </c>
      <c r="C294" s="839">
        <v>100</v>
      </c>
      <c r="D294" s="839"/>
      <c r="E294" s="839"/>
      <c r="F294" s="840"/>
      <c r="G294" s="796" t="s">
        <v>3690</v>
      </c>
      <c r="H294" s="755" t="s">
        <v>4321</v>
      </c>
      <c r="I294" s="804">
        <v>0</v>
      </c>
      <c r="J294" s="804">
        <v>0</v>
      </c>
    </row>
    <row r="295" spans="1:13" s="37" customFormat="1">
      <c r="A295" s="875">
        <v>250</v>
      </c>
      <c r="B295" s="860">
        <v>200</v>
      </c>
      <c r="C295" s="843">
        <v>200</v>
      </c>
      <c r="D295" s="843"/>
      <c r="E295" s="843"/>
      <c r="F295" s="876"/>
      <c r="G295" s="845" t="s">
        <v>4754</v>
      </c>
      <c r="H295" s="773" t="s">
        <v>4323</v>
      </c>
      <c r="I295" s="804"/>
      <c r="J295" s="804"/>
    </row>
    <row r="296" spans="1:13" s="37" customFormat="1" ht="38.25">
      <c r="A296" s="875">
        <v>250</v>
      </c>
      <c r="B296" s="860">
        <v>200</v>
      </c>
      <c r="C296" s="843">
        <v>300</v>
      </c>
      <c r="D296" s="843"/>
      <c r="E296" s="843"/>
      <c r="F296" s="844"/>
      <c r="G296" s="845" t="s">
        <v>4755</v>
      </c>
      <c r="H296" s="773" t="s">
        <v>4325</v>
      </c>
      <c r="I296" s="804"/>
      <c r="J296" s="804"/>
    </row>
    <row r="297" spans="1:13" s="37" customFormat="1">
      <c r="A297" s="877">
        <v>280</v>
      </c>
      <c r="B297" s="878">
        <v>0</v>
      </c>
      <c r="C297" s="878">
        <v>0</v>
      </c>
      <c r="D297" s="878">
        <v>0</v>
      </c>
      <c r="E297" s="878">
        <v>0</v>
      </c>
      <c r="F297" s="879">
        <v>0</v>
      </c>
      <c r="G297" s="880" t="s">
        <v>4756</v>
      </c>
      <c r="H297" s="881" t="s">
        <v>4327</v>
      </c>
      <c r="I297" s="882">
        <f>SUM(I2:I296)</f>
        <v>165655270</v>
      </c>
      <c r="J297" s="882">
        <f>SUM(J2:J296)</f>
        <v>164039938</v>
      </c>
      <c r="L297" s="780"/>
      <c r="M297" s="780"/>
    </row>
    <row r="298" spans="1:13" s="37" customFormat="1">
      <c r="A298" s="846">
        <v>290</v>
      </c>
      <c r="B298" s="847">
        <v>0</v>
      </c>
      <c r="C298" s="847">
        <v>0</v>
      </c>
      <c r="D298" s="847">
        <v>0</v>
      </c>
      <c r="E298" s="847">
        <v>0</v>
      </c>
      <c r="F298" s="848">
        <v>0</v>
      </c>
      <c r="G298" s="849" t="s">
        <v>4757</v>
      </c>
      <c r="H298" s="778"/>
      <c r="I298" s="850"/>
      <c r="J298" s="850"/>
    </row>
    <row r="299" spans="1:13" s="37" customFormat="1">
      <c r="A299" s="870">
        <v>290</v>
      </c>
      <c r="B299" s="839">
        <v>100</v>
      </c>
      <c r="C299" s="839"/>
      <c r="D299" s="839"/>
      <c r="E299" s="839"/>
      <c r="F299" s="840"/>
      <c r="G299" s="841" t="s">
        <v>4758</v>
      </c>
      <c r="H299" s="883"/>
      <c r="I299" s="812"/>
      <c r="J299" s="812"/>
    </row>
    <row r="300" spans="1:13" s="37" customFormat="1">
      <c r="A300" s="870">
        <v>290</v>
      </c>
      <c r="B300" s="839">
        <v>200</v>
      </c>
      <c r="C300" s="839"/>
      <c r="D300" s="839"/>
      <c r="E300" s="839"/>
      <c r="F300" s="840"/>
      <c r="G300" s="841" t="s">
        <v>4759</v>
      </c>
      <c r="H300" s="883"/>
      <c r="I300" s="812"/>
      <c r="J300" s="812"/>
    </row>
    <row r="301" spans="1:13" s="37" customFormat="1">
      <c r="A301" s="870">
        <v>290</v>
      </c>
      <c r="B301" s="839">
        <v>300</v>
      </c>
      <c r="C301" s="839"/>
      <c r="D301" s="839"/>
      <c r="E301" s="839"/>
      <c r="F301" s="840"/>
      <c r="G301" s="841" t="s">
        <v>4760</v>
      </c>
      <c r="H301" s="883"/>
      <c r="I301" s="812"/>
      <c r="J301" s="812"/>
    </row>
    <row r="302" spans="1:13" s="749" customFormat="1">
      <c r="A302" s="856">
        <v>295</v>
      </c>
      <c r="B302" s="857">
        <v>0</v>
      </c>
      <c r="C302" s="857">
        <v>0</v>
      </c>
      <c r="D302" s="857">
        <v>0</v>
      </c>
      <c r="E302" s="857">
        <v>0</v>
      </c>
      <c r="F302" s="858">
        <v>0</v>
      </c>
      <c r="G302" s="859" t="s">
        <v>3627</v>
      </c>
      <c r="H302" s="778"/>
      <c r="I302" s="850"/>
      <c r="J302" s="850"/>
    </row>
    <row r="303" spans="1:13" s="37" customFormat="1">
      <c r="A303" s="870">
        <v>295</v>
      </c>
      <c r="B303" s="839">
        <v>100</v>
      </c>
      <c r="C303" s="839"/>
      <c r="D303" s="839"/>
      <c r="E303" s="839"/>
      <c r="F303" s="840"/>
      <c r="G303" s="796" t="s">
        <v>4493</v>
      </c>
      <c r="H303" s="755" t="s">
        <v>4331</v>
      </c>
      <c r="I303" s="812">
        <v>66479</v>
      </c>
      <c r="J303" s="812">
        <v>116759</v>
      </c>
    </row>
    <row r="304" spans="1:13" s="37" customFormat="1">
      <c r="A304" s="870">
        <v>295</v>
      </c>
      <c r="B304" s="839">
        <v>200</v>
      </c>
      <c r="C304" s="839"/>
      <c r="D304" s="839"/>
      <c r="E304" s="839"/>
      <c r="F304" s="840"/>
      <c r="G304" s="796" t="s">
        <v>4494</v>
      </c>
      <c r="H304" s="755" t="s">
        <v>4333</v>
      </c>
      <c r="I304" s="812"/>
      <c r="J304" s="812"/>
    </row>
    <row r="305" spans="1:10" s="37" customFormat="1">
      <c r="A305" s="870">
        <v>295</v>
      </c>
      <c r="B305" s="839">
        <v>300</v>
      </c>
      <c r="C305" s="839"/>
      <c r="D305" s="839"/>
      <c r="E305" s="839"/>
      <c r="F305" s="840"/>
      <c r="G305" s="796" t="s">
        <v>4495</v>
      </c>
      <c r="H305" s="755" t="s">
        <v>4335</v>
      </c>
      <c r="I305" s="812">
        <v>1463350</v>
      </c>
      <c r="J305" s="812"/>
    </row>
    <row r="306" spans="1:10" s="749" customFormat="1">
      <c r="A306" s="870">
        <v>295</v>
      </c>
      <c r="B306" s="839">
        <v>350</v>
      </c>
      <c r="C306" s="839"/>
      <c r="D306" s="839"/>
      <c r="E306" s="839"/>
      <c r="F306" s="840"/>
      <c r="G306" s="796" t="s">
        <v>4496</v>
      </c>
      <c r="H306" s="755" t="s">
        <v>4337</v>
      </c>
      <c r="I306" s="812"/>
      <c r="J306" s="812"/>
    </row>
    <row r="307" spans="1:10" s="37" customFormat="1">
      <c r="A307" s="870">
        <v>295</v>
      </c>
      <c r="B307" s="836">
        <v>400</v>
      </c>
      <c r="C307" s="836"/>
      <c r="D307" s="836"/>
      <c r="E307" s="836"/>
      <c r="F307" s="837"/>
      <c r="G307" s="838" t="s">
        <v>4497</v>
      </c>
      <c r="H307" s="755" t="s">
        <v>4339</v>
      </c>
      <c r="I307" s="850"/>
      <c r="J307" s="850"/>
    </row>
    <row r="308" spans="1:10" s="37" customFormat="1">
      <c r="A308" s="870">
        <v>295</v>
      </c>
      <c r="B308" s="836">
        <v>400</v>
      </c>
      <c r="C308" s="839">
        <v>100</v>
      </c>
      <c r="D308" s="839"/>
      <c r="E308" s="839"/>
      <c r="F308" s="840"/>
      <c r="G308" s="841" t="s">
        <v>4498</v>
      </c>
      <c r="H308" s="755"/>
      <c r="I308" s="812"/>
      <c r="J308" s="812"/>
    </row>
    <row r="309" spans="1:10" s="37" customFormat="1">
      <c r="A309" s="870">
        <v>295</v>
      </c>
      <c r="B309" s="836">
        <v>400</v>
      </c>
      <c r="C309" s="839">
        <v>200</v>
      </c>
      <c r="D309" s="839"/>
      <c r="E309" s="839"/>
      <c r="F309" s="840"/>
      <c r="G309" s="841" t="s">
        <v>3630</v>
      </c>
      <c r="H309" s="884"/>
      <c r="I309" s="812"/>
      <c r="J309" s="812"/>
    </row>
    <row r="310" spans="1:10" s="37" customFormat="1">
      <c r="A310" s="870">
        <v>295</v>
      </c>
      <c r="B310" s="836">
        <v>400</v>
      </c>
      <c r="C310" s="839">
        <v>300</v>
      </c>
      <c r="D310" s="839"/>
      <c r="E310" s="839"/>
      <c r="F310" s="840"/>
      <c r="G310" s="841" t="s">
        <v>4499</v>
      </c>
      <c r="H310" s="884"/>
      <c r="I310" s="804">
        <v>1277134</v>
      </c>
      <c r="J310" s="804">
        <v>2781638</v>
      </c>
    </row>
    <row r="311" spans="1:10" s="37" customFormat="1">
      <c r="A311" s="870">
        <v>295</v>
      </c>
      <c r="B311" s="836">
        <v>400</v>
      </c>
      <c r="C311" s="839">
        <v>400</v>
      </c>
      <c r="D311" s="839"/>
      <c r="E311" s="839"/>
      <c r="F311" s="840"/>
      <c r="G311" s="841" t="s">
        <v>4500</v>
      </c>
      <c r="H311" s="884"/>
      <c r="I311" s="804"/>
      <c r="J311" s="804"/>
    </row>
    <row r="312" spans="1:10" s="37" customFormat="1">
      <c r="A312" s="870">
        <v>295</v>
      </c>
      <c r="B312" s="836">
        <v>400</v>
      </c>
      <c r="C312" s="839">
        <v>500</v>
      </c>
      <c r="D312" s="839"/>
      <c r="E312" s="839"/>
      <c r="F312" s="840"/>
      <c r="G312" s="841" t="s">
        <v>4501</v>
      </c>
      <c r="H312" s="884"/>
      <c r="I312" s="804"/>
      <c r="J312" s="804"/>
    </row>
    <row r="313" spans="1:10" s="37" customFormat="1">
      <c r="A313" s="870">
        <v>295</v>
      </c>
      <c r="B313" s="836">
        <v>400</v>
      </c>
      <c r="C313" s="839">
        <v>600</v>
      </c>
      <c r="D313" s="839"/>
      <c r="E313" s="839"/>
      <c r="F313" s="840"/>
      <c r="G313" s="841" t="s">
        <v>4502</v>
      </c>
      <c r="H313" s="884"/>
      <c r="I313" s="812"/>
      <c r="J313" s="812"/>
    </row>
    <row r="314" spans="1:10" s="37" customFormat="1" ht="13.5" thickBot="1">
      <c r="A314" s="885">
        <v>295</v>
      </c>
      <c r="B314" s="886">
        <v>400</v>
      </c>
      <c r="C314" s="887">
        <v>900</v>
      </c>
      <c r="D314" s="887"/>
      <c r="E314" s="887"/>
      <c r="F314" s="888"/>
      <c r="G314" s="889" t="s">
        <v>4503</v>
      </c>
      <c r="H314" s="890"/>
      <c r="I314" s="819"/>
      <c r="J314" s="819"/>
    </row>
    <row r="315" spans="1:10" s="37" customFormat="1">
      <c r="A315" s="891"/>
      <c r="B315" s="891"/>
      <c r="H315" s="820"/>
      <c r="I315" s="892"/>
      <c r="J315" s="892"/>
    </row>
    <row r="316" spans="1:10" s="37" customFormat="1">
      <c r="A316" s="893"/>
      <c r="B316" s="893"/>
      <c r="C316" s="893"/>
      <c r="D316" s="893"/>
      <c r="E316" s="893"/>
      <c r="F316" s="893"/>
      <c r="G316" s="893"/>
      <c r="H316" s="894"/>
      <c r="I316" s="895"/>
      <c r="J316" s="895"/>
    </row>
    <row r="317" spans="1:10" s="37" customFormat="1">
      <c r="A317" s="891"/>
      <c r="B317" s="891"/>
      <c r="H317" s="820"/>
      <c r="I317" s="189"/>
      <c r="J317" s="189"/>
    </row>
    <row r="318" spans="1:10" s="37" customFormat="1">
      <c r="A318" s="891"/>
      <c r="H318" s="820"/>
      <c r="I318" s="189"/>
      <c r="J318" s="189"/>
    </row>
    <row r="319" spans="1:10" s="37" customFormat="1">
      <c r="A319" s="893"/>
      <c r="B319" s="893"/>
      <c r="C319" s="893"/>
      <c r="D319" s="893"/>
      <c r="E319" s="893"/>
      <c r="F319" s="893"/>
      <c r="G319" s="893"/>
      <c r="H319" s="894"/>
      <c r="I319" s="895"/>
      <c r="J319" s="895"/>
    </row>
    <row r="321" spans="1:10" s="37" customFormat="1">
      <c r="A321" s="893"/>
      <c r="B321" s="893"/>
      <c r="C321" s="893"/>
      <c r="D321" s="893"/>
      <c r="E321" s="893"/>
      <c r="F321" s="893"/>
      <c r="G321" s="893"/>
      <c r="H321" s="894"/>
      <c r="I321" s="895"/>
      <c r="J321" s="895"/>
    </row>
    <row r="322" spans="1:10" s="37" customFormat="1">
      <c r="A322" s="893"/>
      <c r="B322" s="893"/>
      <c r="C322" s="893"/>
      <c r="D322" s="893"/>
      <c r="E322" s="893"/>
      <c r="F322" s="893"/>
      <c r="G322" s="893"/>
      <c r="H322" s="894"/>
      <c r="I322" s="895"/>
      <c r="J322" s="895"/>
    </row>
  </sheetData>
  <autoFilter ref="A2:M314" xr:uid="{00000000-0009-0000-0000-000007000000}"/>
  <mergeCells count="5">
    <mergeCell ref="A1:F1"/>
    <mergeCell ref="G1:G2"/>
    <mergeCell ref="H1:H2"/>
    <mergeCell ref="I1:I2"/>
    <mergeCell ref="J1:J2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15"/>
  <sheetViews>
    <sheetView topLeftCell="A85" zoomScaleNormal="100" workbookViewId="0">
      <selection activeCell="I114" sqref="I114"/>
    </sheetView>
  </sheetViews>
  <sheetFormatPr defaultRowHeight="12.75"/>
  <cols>
    <col min="1" max="1" width="6.28515625" style="898" customWidth="1"/>
    <col min="2" max="2" width="60.42578125" style="898" customWidth="1"/>
    <col min="3" max="3" width="15" style="949" customWidth="1"/>
    <col min="4" max="4" width="14.85546875" style="926" customWidth="1"/>
    <col min="5" max="5" width="12" style="897" bestFit="1" customWidth="1"/>
    <col min="6" max="6" width="21.85546875" style="897" customWidth="1"/>
    <col min="7" max="13" width="8.85546875" style="898"/>
    <col min="14" max="14" width="46.28515625" style="898" customWidth="1"/>
    <col min="15" max="251" width="8.85546875" style="898"/>
    <col min="252" max="252" width="6.28515625" style="898" customWidth="1"/>
    <col min="253" max="253" width="72.28515625" style="898" bestFit="1" customWidth="1"/>
    <col min="254" max="254" width="15" style="898" customWidth="1"/>
    <col min="255" max="255" width="14.85546875" style="898" customWidth="1"/>
    <col min="256" max="256" width="8.5703125" style="898" customWidth="1"/>
    <col min="257" max="507" width="8.85546875" style="898"/>
    <col min="508" max="508" width="6.28515625" style="898" customWidth="1"/>
    <col min="509" max="509" width="72.28515625" style="898" bestFit="1" customWidth="1"/>
    <col min="510" max="510" width="15" style="898" customWidth="1"/>
    <col min="511" max="511" width="14.85546875" style="898" customWidth="1"/>
    <col min="512" max="512" width="8.5703125" style="898" customWidth="1"/>
    <col min="513" max="763" width="8.85546875" style="898"/>
    <col min="764" max="764" width="6.28515625" style="898" customWidth="1"/>
    <col min="765" max="765" width="72.28515625" style="898" bestFit="1" customWidth="1"/>
    <col min="766" max="766" width="15" style="898" customWidth="1"/>
    <col min="767" max="767" width="14.85546875" style="898" customWidth="1"/>
    <col min="768" max="768" width="8.5703125" style="898" customWidth="1"/>
    <col min="769" max="1019" width="8.85546875" style="898"/>
    <col min="1020" max="1020" width="6.28515625" style="898" customWidth="1"/>
    <col min="1021" max="1021" width="72.28515625" style="898" bestFit="1" customWidth="1"/>
    <col min="1022" max="1022" width="15" style="898" customWidth="1"/>
    <col min="1023" max="1023" width="14.85546875" style="898" customWidth="1"/>
    <col min="1024" max="1024" width="8.5703125" style="898" customWidth="1"/>
    <col min="1025" max="1275" width="8.85546875" style="898"/>
    <col min="1276" max="1276" width="6.28515625" style="898" customWidth="1"/>
    <col min="1277" max="1277" width="72.28515625" style="898" bestFit="1" customWidth="1"/>
    <col min="1278" max="1278" width="15" style="898" customWidth="1"/>
    <col min="1279" max="1279" width="14.85546875" style="898" customWidth="1"/>
    <col min="1280" max="1280" width="8.5703125" style="898" customWidth="1"/>
    <col min="1281" max="1531" width="8.85546875" style="898"/>
    <col min="1532" max="1532" width="6.28515625" style="898" customWidth="1"/>
    <col min="1533" max="1533" width="72.28515625" style="898" bestFit="1" customWidth="1"/>
    <col min="1534" max="1534" width="15" style="898" customWidth="1"/>
    <col min="1535" max="1535" width="14.85546875" style="898" customWidth="1"/>
    <col min="1536" max="1536" width="8.5703125" style="898" customWidth="1"/>
    <col min="1537" max="1787" width="8.85546875" style="898"/>
    <col min="1788" max="1788" width="6.28515625" style="898" customWidth="1"/>
    <col min="1789" max="1789" width="72.28515625" style="898" bestFit="1" customWidth="1"/>
    <col min="1790" max="1790" width="15" style="898" customWidth="1"/>
    <col min="1791" max="1791" width="14.85546875" style="898" customWidth="1"/>
    <col min="1792" max="1792" width="8.5703125" style="898" customWidth="1"/>
    <col min="1793" max="2043" width="8.85546875" style="898"/>
    <col min="2044" max="2044" width="6.28515625" style="898" customWidth="1"/>
    <col min="2045" max="2045" width="72.28515625" style="898" bestFit="1" customWidth="1"/>
    <col min="2046" max="2046" width="15" style="898" customWidth="1"/>
    <col min="2047" max="2047" width="14.85546875" style="898" customWidth="1"/>
    <col min="2048" max="2048" width="8.5703125" style="898" customWidth="1"/>
    <col min="2049" max="2299" width="8.85546875" style="898"/>
    <col min="2300" max="2300" width="6.28515625" style="898" customWidth="1"/>
    <col min="2301" max="2301" width="72.28515625" style="898" bestFit="1" customWidth="1"/>
    <col min="2302" max="2302" width="15" style="898" customWidth="1"/>
    <col min="2303" max="2303" width="14.85546875" style="898" customWidth="1"/>
    <col min="2304" max="2304" width="8.5703125" style="898" customWidth="1"/>
    <col min="2305" max="2555" width="8.85546875" style="898"/>
    <col min="2556" max="2556" width="6.28515625" style="898" customWidth="1"/>
    <col min="2557" max="2557" width="72.28515625" style="898" bestFit="1" customWidth="1"/>
    <col min="2558" max="2558" width="15" style="898" customWidth="1"/>
    <col min="2559" max="2559" width="14.85546875" style="898" customWidth="1"/>
    <col min="2560" max="2560" width="8.5703125" style="898" customWidth="1"/>
    <col min="2561" max="2811" width="8.85546875" style="898"/>
    <col min="2812" max="2812" width="6.28515625" style="898" customWidth="1"/>
    <col min="2813" max="2813" width="72.28515625" style="898" bestFit="1" customWidth="1"/>
    <col min="2814" max="2814" width="15" style="898" customWidth="1"/>
    <col min="2815" max="2815" width="14.85546875" style="898" customWidth="1"/>
    <col min="2816" max="2816" width="8.5703125" style="898" customWidth="1"/>
    <col min="2817" max="3067" width="8.85546875" style="898"/>
    <col min="3068" max="3068" width="6.28515625" style="898" customWidth="1"/>
    <col min="3069" max="3069" width="72.28515625" style="898" bestFit="1" customWidth="1"/>
    <col min="3070" max="3070" width="15" style="898" customWidth="1"/>
    <col min="3071" max="3071" width="14.85546875" style="898" customWidth="1"/>
    <col min="3072" max="3072" width="8.5703125" style="898" customWidth="1"/>
    <col min="3073" max="3323" width="8.85546875" style="898"/>
    <col min="3324" max="3324" width="6.28515625" style="898" customWidth="1"/>
    <col min="3325" max="3325" width="72.28515625" style="898" bestFit="1" customWidth="1"/>
    <col min="3326" max="3326" width="15" style="898" customWidth="1"/>
    <col min="3327" max="3327" width="14.85546875" style="898" customWidth="1"/>
    <col min="3328" max="3328" width="8.5703125" style="898" customWidth="1"/>
    <col min="3329" max="3579" width="8.85546875" style="898"/>
    <col min="3580" max="3580" width="6.28515625" style="898" customWidth="1"/>
    <col min="3581" max="3581" width="72.28515625" style="898" bestFit="1" customWidth="1"/>
    <col min="3582" max="3582" width="15" style="898" customWidth="1"/>
    <col min="3583" max="3583" width="14.85546875" style="898" customWidth="1"/>
    <col min="3584" max="3584" width="8.5703125" style="898" customWidth="1"/>
    <col min="3585" max="3835" width="8.85546875" style="898"/>
    <col min="3836" max="3836" width="6.28515625" style="898" customWidth="1"/>
    <col min="3837" max="3837" width="72.28515625" style="898" bestFit="1" customWidth="1"/>
    <col min="3838" max="3838" width="15" style="898" customWidth="1"/>
    <col min="3839" max="3839" width="14.85546875" style="898" customWidth="1"/>
    <col min="3840" max="3840" width="8.5703125" style="898" customWidth="1"/>
    <col min="3841" max="4091" width="8.85546875" style="898"/>
    <col min="4092" max="4092" width="6.28515625" style="898" customWidth="1"/>
    <col min="4093" max="4093" width="72.28515625" style="898" bestFit="1" customWidth="1"/>
    <col min="4094" max="4094" width="15" style="898" customWidth="1"/>
    <col min="4095" max="4095" width="14.85546875" style="898" customWidth="1"/>
    <col min="4096" max="4096" width="8.5703125" style="898" customWidth="1"/>
    <col min="4097" max="4347" width="8.85546875" style="898"/>
    <col min="4348" max="4348" width="6.28515625" style="898" customWidth="1"/>
    <col min="4349" max="4349" width="72.28515625" style="898" bestFit="1" customWidth="1"/>
    <col min="4350" max="4350" width="15" style="898" customWidth="1"/>
    <col min="4351" max="4351" width="14.85546875" style="898" customWidth="1"/>
    <col min="4352" max="4352" width="8.5703125" style="898" customWidth="1"/>
    <col min="4353" max="4603" width="8.85546875" style="898"/>
    <col min="4604" max="4604" width="6.28515625" style="898" customWidth="1"/>
    <col min="4605" max="4605" width="72.28515625" style="898" bestFit="1" customWidth="1"/>
    <col min="4606" max="4606" width="15" style="898" customWidth="1"/>
    <col min="4607" max="4607" width="14.85546875" style="898" customWidth="1"/>
    <col min="4608" max="4608" width="8.5703125" style="898" customWidth="1"/>
    <col min="4609" max="4859" width="8.85546875" style="898"/>
    <col min="4860" max="4860" width="6.28515625" style="898" customWidth="1"/>
    <col min="4861" max="4861" width="72.28515625" style="898" bestFit="1" customWidth="1"/>
    <col min="4862" max="4862" width="15" style="898" customWidth="1"/>
    <col min="4863" max="4863" width="14.85546875" style="898" customWidth="1"/>
    <col min="4864" max="4864" width="8.5703125" style="898" customWidth="1"/>
    <col min="4865" max="5115" width="8.85546875" style="898"/>
    <col min="5116" max="5116" width="6.28515625" style="898" customWidth="1"/>
    <col min="5117" max="5117" width="72.28515625" style="898" bestFit="1" customWidth="1"/>
    <col min="5118" max="5118" width="15" style="898" customWidth="1"/>
    <col min="5119" max="5119" width="14.85546875" style="898" customWidth="1"/>
    <col min="5120" max="5120" width="8.5703125" style="898" customWidth="1"/>
    <col min="5121" max="5371" width="8.85546875" style="898"/>
    <col min="5372" max="5372" width="6.28515625" style="898" customWidth="1"/>
    <col min="5373" max="5373" width="72.28515625" style="898" bestFit="1" customWidth="1"/>
    <col min="5374" max="5374" width="15" style="898" customWidth="1"/>
    <col min="5375" max="5375" width="14.85546875" style="898" customWidth="1"/>
    <col min="5376" max="5376" width="8.5703125" style="898" customWidth="1"/>
    <col min="5377" max="5627" width="8.85546875" style="898"/>
    <col min="5628" max="5628" width="6.28515625" style="898" customWidth="1"/>
    <col min="5629" max="5629" width="72.28515625" style="898" bestFit="1" customWidth="1"/>
    <col min="5630" max="5630" width="15" style="898" customWidth="1"/>
    <col min="5631" max="5631" width="14.85546875" style="898" customWidth="1"/>
    <col min="5632" max="5632" width="8.5703125" style="898" customWidth="1"/>
    <col min="5633" max="5883" width="8.85546875" style="898"/>
    <col min="5884" max="5884" width="6.28515625" style="898" customWidth="1"/>
    <col min="5885" max="5885" width="72.28515625" style="898" bestFit="1" customWidth="1"/>
    <col min="5886" max="5886" width="15" style="898" customWidth="1"/>
    <col min="5887" max="5887" width="14.85546875" style="898" customWidth="1"/>
    <col min="5888" max="5888" width="8.5703125" style="898" customWidth="1"/>
    <col min="5889" max="6139" width="8.85546875" style="898"/>
    <col min="6140" max="6140" width="6.28515625" style="898" customWidth="1"/>
    <col min="6141" max="6141" width="72.28515625" style="898" bestFit="1" customWidth="1"/>
    <col min="6142" max="6142" width="15" style="898" customWidth="1"/>
    <col min="6143" max="6143" width="14.85546875" style="898" customWidth="1"/>
    <col min="6144" max="6144" width="8.5703125" style="898" customWidth="1"/>
    <col min="6145" max="6395" width="8.85546875" style="898"/>
    <col min="6396" max="6396" width="6.28515625" style="898" customWidth="1"/>
    <col min="6397" max="6397" width="72.28515625" style="898" bestFit="1" customWidth="1"/>
    <col min="6398" max="6398" width="15" style="898" customWidth="1"/>
    <col min="6399" max="6399" width="14.85546875" style="898" customWidth="1"/>
    <col min="6400" max="6400" width="8.5703125" style="898" customWidth="1"/>
    <col min="6401" max="6651" width="8.85546875" style="898"/>
    <col min="6652" max="6652" width="6.28515625" style="898" customWidth="1"/>
    <col min="6653" max="6653" width="72.28515625" style="898" bestFit="1" customWidth="1"/>
    <col min="6654" max="6654" width="15" style="898" customWidth="1"/>
    <col min="6655" max="6655" width="14.85546875" style="898" customWidth="1"/>
    <col min="6656" max="6656" width="8.5703125" style="898" customWidth="1"/>
    <col min="6657" max="6907" width="8.85546875" style="898"/>
    <col min="6908" max="6908" width="6.28515625" style="898" customWidth="1"/>
    <col min="6909" max="6909" width="72.28515625" style="898" bestFit="1" customWidth="1"/>
    <col min="6910" max="6910" width="15" style="898" customWidth="1"/>
    <col min="6911" max="6911" width="14.85546875" style="898" customWidth="1"/>
    <col min="6912" max="6912" width="8.5703125" style="898" customWidth="1"/>
    <col min="6913" max="7163" width="8.85546875" style="898"/>
    <col min="7164" max="7164" width="6.28515625" style="898" customWidth="1"/>
    <col min="7165" max="7165" width="72.28515625" style="898" bestFit="1" customWidth="1"/>
    <col min="7166" max="7166" width="15" style="898" customWidth="1"/>
    <col min="7167" max="7167" width="14.85546875" style="898" customWidth="1"/>
    <col min="7168" max="7168" width="8.5703125" style="898" customWidth="1"/>
    <col min="7169" max="7419" width="8.85546875" style="898"/>
    <col min="7420" max="7420" width="6.28515625" style="898" customWidth="1"/>
    <col min="7421" max="7421" width="72.28515625" style="898" bestFit="1" customWidth="1"/>
    <col min="7422" max="7422" width="15" style="898" customWidth="1"/>
    <col min="7423" max="7423" width="14.85546875" style="898" customWidth="1"/>
    <col min="7424" max="7424" width="8.5703125" style="898" customWidth="1"/>
    <col min="7425" max="7675" width="8.85546875" style="898"/>
    <col min="7676" max="7676" width="6.28515625" style="898" customWidth="1"/>
    <col min="7677" max="7677" width="72.28515625" style="898" bestFit="1" customWidth="1"/>
    <col min="7678" max="7678" width="15" style="898" customWidth="1"/>
    <col min="7679" max="7679" width="14.85546875" style="898" customWidth="1"/>
    <col min="7680" max="7680" width="8.5703125" style="898" customWidth="1"/>
    <col min="7681" max="7931" width="8.85546875" style="898"/>
    <col min="7932" max="7932" width="6.28515625" style="898" customWidth="1"/>
    <col min="7933" max="7933" width="72.28515625" style="898" bestFit="1" customWidth="1"/>
    <col min="7934" max="7934" width="15" style="898" customWidth="1"/>
    <col min="7935" max="7935" width="14.85546875" style="898" customWidth="1"/>
    <col min="7936" max="7936" width="8.5703125" style="898" customWidth="1"/>
    <col min="7937" max="8187" width="8.85546875" style="898"/>
    <col min="8188" max="8188" width="6.28515625" style="898" customWidth="1"/>
    <col min="8189" max="8189" width="72.28515625" style="898" bestFit="1" customWidth="1"/>
    <col min="8190" max="8190" width="15" style="898" customWidth="1"/>
    <col min="8191" max="8191" width="14.85546875" style="898" customWidth="1"/>
    <col min="8192" max="8192" width="8.5703125" style="898" customWidth="1"/>
    <col min="8193" max="8443" width="8.85546875" style="898"/>
    <col min="8444" max="8444" width="6.28515625" style="898" customWidth="1"/>
    <col min="8445" max="8445" width="72.28515625" style="898" bestFit="1" customWidth="1"/>
    <col min="8446" max="8446" width="15" style="898" customWidth="1"/>
    <col min="8447" max="8447" width="14.85546875" style="898" customWidth="1"/>
    <col min="8448" max="8448" width="8.5703125" style="898" customWidth="1"/>
    <col min="8449" max="8699" width="8.85546875" style="898"/>
    <col min="8700" max="8700" width="6.28515625" style="898" customWidth="1"/>
    <col min="8701" max="8701" width="72.28515625" style="898" bestFit="1" customWidth="1"/>
    <col min="8702" max="8702" width="15" style="898" customWidth="1"/>
    <col min="8703" max="8703" width="14.85546875" style="898" customWidth="1"/>
    <col min="8704" max="8704" width="8.5703125" style="898" customWidth="1"/>
    <col min="8705" max="8955" width="8.85546875" style="898"/>
    <col min="8956" max="8956" width="6.28515625" style="898" customWidth="1"/>
    <col min="8957" max="8957" width="72.28515625" style="898" bestFit="1" customWidth="1"/>
    <col min="8958" max="8958" width="15" style="898" customWidth="1"/>
    <col min="8959" max="8959" width="14.85546875" style="898" customWidth="1"/>
    <col min="8960" max="8960" width="8.5703125" style="898" customWidth="1"/>
    <col min="8961" max="9211" width="8.85546875" style="898"/>
    <col min="9212" max="9212" width="6.28515625" style="898" customWidth="1"/>
    <col min="9213" max="9213" width="72.28515625" style="898" bestFit="1" customWidth="1"/>
    <col min="9214" max="9214" width="15" style="898" customWidth="1"/>
    <col min="9215" max="9215" width="14.85546875" style="898" customWidth="1"/>
    <col min="9216" max="9216" width="8.5703125" style="898" customWidth="1"/>
    <col min="9217" max="9467" width="8.85546875" style="898"/>
    <col min="9468" max="9468" width="6.28515625" style="898" customWidth="1"/>
    <col min="9469" max="9469" width="72.28515625" style="898" bestFit="1" customWidth="1"/>
    <col min="9470" max="9470" width="15" style="898" customWidth="1"/>
    <col min="9471" max="9471" width="14.85546875" style="898" customWidth="1"/>
    <col min="9472" max="9472" width="8.5703125" style="898" customWidth="1"/>
    <col min="9473" max="9723" width="8.85546875" style="898"/>
    <col min="9724" max="9724" width="6.28515625" style="898" customWidth="1"/>
    <col min="9725" max="9725" width="72.28515625" style="898" bestFit="1" customWidth="1"/>
    <col min="9726" max="9726" width="15" style="898" customWidth="1"/>
    <col min="9727" max="9727" width="14.85546875" style="898" customWidth="1"/>
    <col min="9728" max="9728" width="8.5703125" style="898" customWidth="1"/>
    <col min="9729" max="9979" width="8.85546875" style="898"/>
    <col min="9980" max="9980" width="6.28515625" style="898" customWidth="1"/>
    <col min="9981" max="9981" width="72.28515625" style="898" bestFit="1" customWidth="1"/>
    <col min="9982" max="9982" width="15" style="898" customWidth="1"/>
    <col min="9983" max="9983" width="14.85546875" style="898" customWidth="1"/>
    <col min="9984" max="9984" width="8.5703125" style="898" customWidth="1"/>
    <col min="9985" max="10235" width="8.85546875" style="898"/>
    <col min="10236" max="10236" width="6.28515625" style="898" customWidth="1"/>
    <col min="10237" max="10237" width="72.28515625" style="898" bestFit="1" customWidth="1"/>
    <col min="10238" max="10238" width="15" style="898" customWidth="1"/>
    <col min="10239" max="10239" width="14.85546875" style="898" customWidth="1"/>
    <col min="10240" max="10240" width="8.5703125" style="898" customWidth="1"/>
    <col min="10241" max="10491" width="8.85546875" style="898"/>
    <col min="10492" max="10492" width="6.28515625" style="898" customWidth="1"/>
    <col min="10493" max="10493" width="72.28515625" style="898" bestFit="1" customWidth="1"/>
    <col min="10494" max="10494" width="15" style="898" customWidth="1"/>
    <col min="10495" max="10495" width="14.85546875" style="898" customWidth="1"/>
    <col min="10496" max="10496" width="8.5703125" style="898" customWidth="1"/>
    <col min="10497" max="10747" width="8.85546875" style="898"/>
    <col min="10748" max="10748" width="6.28515625" style="898" customWidth="1"/>
    <col min="10749" max="10749" width="72.28515625" style="898" bestFit="1" customWidth="1"/>
    <col min="10750" max="10750" width="15" style="898" customWidth="1"/>
    <col min="10751" max="10751" width="14.85546875" style="898" customWidth="1"/>
    <col min="10752" max="10752" width="8.5703125" style="898" customWidth="1"/>
    <col min="10753" max="11003" width="8.85546875" style="898"/>
    <col min="11004" max="11004" width="6.28515625" style="898" customWidth="1"/>
    <col min="11005" max="11005" width="72.28515625" style="898" bestFit="1" customWidth="1"/>
    <col min="11006" max="11006" width="15" style="898" customWidth="1"/>
    <col min="11007" max="11007" width="14.85546875" style="898" customWidth="1"/>
    <col min="11008" max="11008" width="8.5703125" style="898" customWidth="1"/>
    <col min="11009" max="11259" width="8.85546875" style="898"/>
    <col min="11260" max="11260" width="6.28515625" style="898" customWidth="1"/>
    <col min="11261" max="11261" width="72.28515625" style="898" bestFit="1" customWidth="1"/>
    <col min="11262" max="11262" width="15" style="898" customWidth="1"/>
    <col min="11263" max="11263" width="14.85546875" style="898" customWidth="1"/>
    <col min="11264" max="11264" width="8.5703125" style="898" customWidth="1"/>
    <col min="11265" max="11515" width="8.85546875" style="898"/>
    <col min="11516" max="11516" width="6.28515625" style="898" customWidth="1"/>
    <col min="11517" max="11517" width="72.28515625" style="898" bestFit="1" customWidth="1"/>
    <col min="11518" max="11518" width="15" style="898" customWidth="1"/>
    <col min="11519" max="11519" width="14.85546875" style="898" customWidth="1"/>
    <col min="11520" max="11520" width="8.5703125" style="898" customWidth="1"/>
    <col min="11521" max="11771" width="8.85546875" style="898"/>
    <col min="11772" max="11772" width="6.28515625" style="898" customWidth="1"/>
    <col min="11773" max="11773" width="72.28515625" style="898" bestFit="1" customWidth="1"/>
    <col min="11774" max="11774" width="15" style="898" customWidth="1"/>
    <col min="11775" max="11775" width="14.85546875" style="898" customWidth="1"/>
    <col min="11776" max="11776" width="8.5703125" style="898" customWidth="1"/>
    <col min="11777" max="12027" width="8.85546875" style="898"/>
    <col min="12028" max="12028" width="6.28515625" style="898" customWidth="1"/>
    <col min="12029" max="12029" width="72.28515625" style="898" bestFit="1" customWidth="1"/>
    <col min="12030" max="12030" width="15" style="898" customWidth="1"/>
    <col min="12031" max="12031" width="14.85546875" style="898" customWidth="1"/>
    <col min="12032" max="12032" width="8.5703125" style="898" customWidth="1"/>
    <col min="12033" max="12283" width="8.85546875" style="898"/>
    <col min="12284" max="12284" width="6.28515625" style="898" customWidth="1"/>
    <col min="12285" max="12285" width="72.28515625" style="898" bestFit="1" customWidth="1"/>
    <col min="12286" max="12286" width="15" style="898" customWidth="1"/>
    <col min="12287" max="12287" width="14.85546875" style="898" customWidth="1"/>
    <col min="12288" max="12288" width="8.5703125" style="898" customWidth="1"/>
    <col min="12289" max="12539" width="8.85546875" style="898"/>
    <col min="12540" max="12540" width="6.28515625" style="898" customWidth="1"/>
    <col min="12541" max="12541" width="72.28515625" style="898" bestFit="1" customWidth="1"/>
    <col min="12542" max="12542" width="15" style="898" customWidth="1"/>
    <col min="12543" max="12543" width="14.85546875" style="898" customWidth="1"/>
    <col min="12544" max="12544" width="8.5703125" style="898" customWidth="1"/>
    <col min="12545" max="12795" width="8.85546875" style="898"/>
    <col min="12796" max="12796" width="6.28515625" style="898" customWidth="1"/>
    <col min="12797" max="12797" width="72.28515625" style="898" bestFit="1" customWidth="1"/>
    <col min="12798" max="12798" width="15" style="898" customWidth="1"/>
    <col min="12799" max="12799" width="14.85546875" style="898" customWidth="1"/>
    <col min="12800" max="12800" width="8.5703125" style="898" customWidth="1"/>
    <col min="12801" max="13051" width="8.85546875" style="898"/>
    <col min="13052" max="13052" width="6.28515625" style="898" customWidth="1"/>
    <col min="13053" max="13053" width="72.28515625" style="898" bestFit="1" customWidth="1"/>
    <col min="13054" max="13054" width="15" style="898" customWidth="1"/>
    <col min="13055" max="13055" width="14.85546875" style="898" customWidth="1"/>
    <col min="13056" max="13056" width="8.5703125" style="898" customWidth="1"/>
    <col min="13057" max="13307" width="8.85546875" style="898"/>
    <col min="13308" max="13308" width="6.28515625" style="898" customWidth="1"/>
    <col min="13309" max="13309" width="72.28515625" style="898" bestFit="1" customWidth="1"/>
    <col min="13310" max="13310" width="15" style="898" customWidth="1"/>
    <col min="13311" max="13311" width="14.85546875" style="898" customWidth="1"/>
    <col min="13312" max="13312" width="8.5703125" style="898" customWidth="1"/>
    <col min="13313" max="13563" width="8.85546875" style="898"/>
    <col min="13564" max="13564" width="6.28515625" style="898" customWidth="1"/>
    <col min="13565" max="13565" width="72.28515625" style="898" bestFit="1" customWidth="1"/>
    <col min="13566" max="13566" width="15" style="898" customWidth="1"/>
    <col min="13567" max="13567" width="14.85546875" style="898" customWidth="1"/>
    <col min="13568" max="13568" width="8.5703125" style="898" customWidth="1"/>
    <col min="13569" max="13819" width="8.85546875" style="898"/>
    <col min="13820" max="13820" width="6.28515625" style="898" customWidth="1"/>
    <col min="13821" max="13821" width="72.28515625" style="898" bestFit="1" customWidth="1"/>
    <col min="13822" max="13822" width="15" style="898" customWidth="1"/>
    <col min="13823" max="13823" width="14.85546875" style="898" customWidth="1"/>
    <col min="13824" max="13824" width="8.5703125" style="898" customWidth="1"/>
    <col min="13825" max="14075" width="8.85546875" style="898"/>
    <col min="14076" max="14076" width="6.28515625" style="898" customWidth="1"/>
    <col min="14077" max="14077" width="72.28515625" style="898" bestFit="1" customWidth="1"/>
    <col min="14078" max="14078" width="15" style="898" customWidth="1"/>
    <col min="14079" max="14079" width="14.85546875" style="898" customWidth="1"/>
    <col min="14080" max="14080" width="8.5703125" style="898" customWidth="1"/>
    <col min="14081" max="14331" width="8.85546875" style="898"/>
    <col min="14332" max="14332" width="6.28515625" style="898" customWidth="1"/>
    <col min="14333" max="14333" width="72.28515625" style="898" bestFit="1" customWidth="1"/>
    <col min="14334" max="14334" width="15" style="898" customWidth="1"/>
    <col min="14335" max="14335" width="14.85546875" style="898" customWidth="1"/>
    <col min="14336" max="14336" width="8.5703125" style="898" customWidth="1"/>
    <col min="14337" max="14587" width="8.85546875" style="898"/>
    <col min="14588" max="14588" width="6.28515625" style="898" customWidth="1"/>
    <col min="14589" max="14589" width="72.28515625" style="898" bestFit="1" customWidth="1"/>
    <col min="14590" max="14590" width="15" style="898" customWidth="1"/>
    <col min="14591" max="14591" width="14.85546875" style="898" customWidth="1"/>
    <col min="14592" max="14592" width="8.5703125" style="898" customWidth="1"/>
    <col min="14593" max="14843" width="8.85546875" style="898"/>
    <col min="14844" max="14844" width="6.28515625" style="898" customWidth="1"/>
    <col min="14845" max="14845" width="72.28515625" style="898" bestFit="1" customWidth="1"/>
    <col min="14846" max="14846" width="15" style="898" customWidth="1"/>
    <col min="14847" max="14847" width="14.85546875" style="898" customWidth="1"/>
    <col min="14848" max="14848" width="8.5703125" style="898" customWidth="1"/>
    <col min="14849" max="15099" width="8.85546875" style="898"/>
    <col min="15100" max="15100" width="6.28515625" style="898" customWidth="1"/>
    <col min="15101" max="15101" width="72.28515625" style="898" bestFit="1" customWidth="1"/>
    <col min="15102" max="15102" width="15" style="898" customWidth="1"/>
    <col min="15103" max="15103" width="14.85546875" style="898" customWidth="1"/>
    <col min="15104" max="15104" width="8.5703125" style="898" customWidth="1"/>
    <col min="15105" max="15355" width="8.85546875" style="898"/>
    <col min="15356" max="15356" width="6.28515625" style="898" customWidth="1"/>
    <col min="15357" max="15357" width="72.28515625" style="898" bestFit="1" customWidth="1"/>
    <col min="15358" max="15358" width="15" style="898" customWidth="1"/>
    <col min="15359" max="15359" width="14.85546875" style="898" customWidth="1"/>
    <col min="15360" max="15360" width="8.5703125" style="898" customWidth="1"/>
    <col min="15361" max="15611" width="8.85546875" style="898"/>
    <col min="15612" max="15612" width="6.28515625" style="898" customWidth="1"/>
    <col min="15613" max="15613" width="72.28515625" style="898" bestFit="1" customWidth="1"/>
    <col min="15614" max="15614" width="15" style="898" customWidth="1"/>
    <col min="15615" max="15615" width="14.85546875" style="898" customWidth="1"/>
    <col min="15616" max="15616" width="8.5703125" style="898" customWidth="1"/>
    <col min="15617" max="15867" width="8.85546875" style="898"/>
    <col min="15868" max="15868" width="6.28515625" style="898" customWidth="1"/>
    <col min="15869" max="15869" width="72.28515625" style="898" bestFit="1" customWidth="1"/>
    <col min="15870" max="15870" width="15" style="898" customWidth="1"/>
    <col min="15871" max="15871" width="14.85546875" style="898" customWidth="1"/>
    <col min="15872" max="15872" width="8.5703125" style="898" customWidth="1"/>
    <col min="15873" max="16123" width="8.85546875" style="898"/>
    <col min="16124" max="16124" width="6.28515625" style="898" customWidth="1"/>
    <col min="16125" max="16125" width="72.28515625" style="898" bestFit="1" customWidth="1"/>
    <col min="16126" max="16126" width="15" style="898" customWidth="1"/>
    <col min="16127" max="16127" width="14.85546875" style="898" customWidth="1"/>
    <col min="16128" max="16128" width="8.5703125" style="898" customWidth="1"/>
    <col min="16129" max="16384" width="8.85546875" style="898"/>
  </cols>
  <sheetData>
    <row r="1" spans="1:14">
      <c r="A1" s="1064" t="s">
        <v>4761</v>
      </c>
      <c r="B1" s="1064"/>
      <c r="C1" s="932" t="s">
        <v>4878</v>
      </c>
      <c r="D1" s="896" t="s">
        <v>4762</v>
      </c>
    </row>
    <row r="2" spans="1:14">
      <c r="A2" s="899"/>
      <c r="B2" s="899"/>
      <c r="C2" s="933"/>
      <c r="D2" s="900"/>
      <c r="E2" s="898"/>
    </row>
    <row r="3" spans="1:14">
      <c r="A3" s="901" t="s">
        <v>4763</v>
      </c>
      <c r="B3" s="902"/>
      <c r="C3" s="934"/>
      <c r="D3" s="903"/>
      <c r="E3" s="898"/>
    </row>
    <row r="4" spans="1:14">
      <c r="A4" s="904" t="s">
        <v>4764</v>
      </c>
      <c r="B4" s="904" t="s">
        <v>4765</v>
      </c>
      <c r="C4" s="935">
        <v>15600</v>
      </c>
      <c r="D4" s="943">
        <v>147116</v>
      </c>
      <c r="E4" s="898"/>
    </row>
    <row r="5" spans="1:14">
      <c r="A5" s="904"/>
      <c r="B5" s="905" t="s">
        <v>4766</v>
      </c>
      <c r="C5" s="936"/>
      <c r="D5" s="950"/>
      <c r="E5" s="898"/>
    </row>
    <row r="6" spans="1:14">
      <c r="A6" s="906" t="s">
        <v>4764</v>
      </c>
      <c r="B6" s="907" t="s">
        <v>4767</v>
      </c>
      <c r="C6" s="937">
        <v>1259667.47</v>
      </c>
      <c r="D6" s="937">
        <v>1041321.5700000001</v>
      </c>
      <c r="E6" s="898"/>
    </row>
    <row r="7" spans="1:14">
      <c r="A7" s="906" t="s">
        <v>4764</v>
      </c>
      <c r="B7" s="907" t="s">
        <v>4768</v>
      </c>
      <c r="C7" s="937">
        <v>2246740.3899999997</v>
      </c>
      <c r="D7" s="937">
        <v>1969151.72</v>
      </c>
      <c r="E7" s="898"/>
    </row>
    <row r="8" spans="1:14">
      <c r="A8" s="906" t="s">
        <v>4764</v>
      </c>
      <c r="B8" s="907" t="s">
        <v>4769</v>
      </c>
      <c r="C8" s="937">
        <v>14514.34</v>
      </c>
      <c r="D8" s="937">
        <v>15368.34</v>
      </c>
      <c r="E8" s="898"/>
    </row>
    <row r="9" spans="1:14" ht="13.15" customHeight="1">
      <c r="A9" s="901" t="s">
        <v>4770</v>
      </c>
      <c r="B9" s="908"/>
      <c r="C9" s="938">
        <v>3520922.1999999993</v>
      </c>
      <c r="D9" s="938">
        <v>3025841.63</v>
      </c>
      <c r="E9" s="898"/>
      <c r="F9"/>
    </row>
    <row r="10" spans="1:14">
      <c r="A10" s="906" t="s">
        <v>4771</v>
      </c>
      <c r="B10" s="907" t="s">
        <v>4772</v>
      </c>
      <c r="C10" s="937">
        <v>-3404577.9299999997</v>
      </c>
      <c r="D10" s="937">
        <v>-2983004.72</v>
      </c>
      <c r="E10" s="898"/>
      <c r="F10"/>
    </row>
    <row r="11" spans="1:14">
      <c r="A11" s="906" t="s">
        <v>4771</v>
      </c>
      <c r="B11" s="907" t="s">
        <v>4773</v>
      </c>
      <c r="C11" s="937">
        <v>-7519995.6199999992</v>
      </c>
      <c r="D11" s="937">
        <v>-9231984.3000000007</v>
      </c>
      <c r="E11" s="898"/>
      <c r="F11"/>
    </row>
    <row r="12" spans="1:14">
      <c r="A12" s="901" t="s">
        <v>4774</v>
      </c>
      <c r="B12" s="908"/>
      <c r="C12" s="938">
        <v>-10924573.549999999</v>
      </c>
      <c r="D12" s="938">
        <v>-12214989.020000001</v>
      </c>
      <c r="E12" s="898"/>
      <c r="F12"/>
      <c r="G12"/>
      <c r="H12"/>
      <c r="I12"/>
      <c r="J12"/>
      <c r="K12"/>
      <c r="L12"/>
      <c r="M12"/>
      <c r="N12"/>
    </row>
    <row r="13" spans="1:14">
      <c r="A13" s="906" t="s">
        <v>4764</v>
      </c>
      <c r="B13" s="906" t="s">
        <v>4775</v>
      </c>
      <c r="C13" s="937">
        <v>0</v>
      </c>
      <c r="D13" s="937">
        <v>0</v>
      </c>
      <c r="E13" s="898"/>
      <c r="F13"/>
      <c r="G13"/>
      <c r="H13"/>
      <c r="I13"/>
      <c r="J13"/>
      <c r="K13"/>
      <c r="L13"/>
      <c r="M13"/>
      <c r="N13"/>
    </row>
    <row r="14" spans="1:14">
      <c r="A14" s="906" t="s">
        <v>4771</v>
      </c>
      <c r="B14" s="907" t="s">
        <v>4776</v>
      </c>
      <c r="C14" s="939">
        <v>0</v>
      </c>
      <c r="D14" s="939">
        <v>0</v>
      </c>
      <c r="E14" s="898"/>
      <c r="F14"/>
      <c r="G14"/>
      <c r="H14"/>
      <c r="I14"/>
      <c r="J14"/>
      <c r="K14"/>
      <c r="L14"/>
      <c r="M14"/>
      <c r="N14"/>
    </row>
    <row r="15" spans="1:14">
      <c r="A15" s="906" t="s">
        <v>4764</v>
      </c>
      <c r="B15" s="906" t="s">
        <v>4777</v>
      </c>
      <c r="C15" s="940">
        <v>0</v>
      </c>
      <c r="D15" s="940">
        <v>0</v>
      </c>
      <c r="E15" s="898"/>
      <c r="F15"/>
      <c r="G15"/>
      <c r="H15"/>
      <c r="I15"/>
      <c r="J15"/>
      <c r="K15"/>
      <c r="L15"/>
      <c r="M15"/>
      <c r="N15"/>
    </row>
    <row r="16" spans="1:14">
      <c r="A16" s="906" t="s">
        <v>4771</v>
      </c>
      <c r="B16" s="907" t="s">
        <v>4778</v>
      </c>
      <c r="C16" s="939">
        <v>0</v>
      </c>
      <c r="D16" s="939">
        <v>0</v>
      </c>
      <c r="E16" s="898"/>
      <c r="F16"/>
      <c r="G16"/>
      <c r="H16"/>
      <c r="I16"/>
      <c r="J16"/>
      <c r="K16"/>
      <c r="L16"/>
      <c r="M16"/>
      <c r="N16"/>
    </row>
    <row r="17" spans="1:14">
      <c r="A17" s="901" t="s">
        <v>4779</v>
      </c>
      <c r="B17" s="908"/>
      <c r="C17" s="938">
        <v>0</v>
      </c>
      <c r="D17" s="938">
        <v>0</v>
      </c>
      <c r="E17" s="898"/>
      <c r="F17"/>
      <c r="G17"/>
      <c r="H17"/>
      <c r="I17"/>
      <c r="J17"/>
      <c r="K17"/>
      <c r="L17"/>
      <c r="M17"/>
      <c r="N17"/>
    </row>
    <row r="18" spans="1:14">
      <c r="A18" s="906" t="s">
        <v>4780</v>
      </c>
      <c r="B18" s="907" t="s">
        <v>4781</v>
      </c>
      <c r="C18" s="937">
        <v>0</v>
      </c>
      <c r="D18" s="937">
        <v>0</v>
      </c>
      <c r="F18"/>
      <c r="G18"/>
      <c r="H18"/>
      <c r="I18"/>
      <c r="J18"/>
      <c r="K18"/>
      <c r="L18"/>
      <c r="M18"/>
      <c r="N18"/>
    </row>
    <row r="19" spans="1:14">
      <c r="A19" s="906" t="s">
        <v>4764</v>
      </c>
      <c r="B19" s="906" t="s">
        <v>4782</v>
      </c>
      <c r="C19" s="937">
        <v>4012</v>
      </c>
      <c r="D19" s="937">
        <v>312642.65000000002</v>
      </c>
      <c r="F19"/>
      <c r="G19"/>
      <c r="H19"/>
      <c r="I19"/>
      <c r="J19"/>
      <c r="K19"/>
      <c r="L19"/>
      <c r="M19"/>
      <c r="N19"/>
    </row>
    <row r="20" spans="1:14">
      <c r="A20" s="911" t="s">
        <v>4771</v>
      </c>
      <c r="B20" s="911" t="s">
        <v>4783</v>
      </c>
      <c r="C20" s="937">
        <v>-238783</v>
      </c>
      <c r="D20" s="937">
        <v>-679705.65</v>
      </c>
      <c r="F20"/>
      <c r="G20"/>
      <c r="H20"/>
      <c r="I20"/>
      <c r="J20"/>
      <c r="K20"/>
      <c r="L20"/>
      <c r="M20"/>
      <c r="N20"/>
    </row>
    <row r="21" spans="1:14">
      <c r="A21" s="901" t="s">
        <v>4784</v>
      </c>
      <c r="B21" s="908"/>
      <c r="C21" s="938">
        <v>-234771</v>
      </c>
      <c r="D21" s="938">
        <v>-367063</v>
      </c>
      <c r="E21" s="909"/>
      <c r="F21"/>
      <c r="G21"/>
      <c r="H21"/>
      <c r="I21"/>
      <c r="J21"/>
      <c r="K21"/>
      <c r="L21"/>
      <c r="M21"/>
      <c r="N21"/>
    </row>
    <row r="22" spans="1:14">
      <c r="A22" s="906" t="s">
        <v>4764</v>
      </c>
      <c r="B22" s="906" t="s">
        <v>4785</v>
      </c>
      <c r="C22" s="937">
        <v>7371241.2300000004</v>
      </c>
      <c r="D22" s="940">
        <v>5352623.41</v>
      </c>
      <c r="E22" s="898"/>
      <c r="F22"/>
      <c r="G22"/>
      <c r="H22"/>
      <c r="I22"/>
      <c r="J22"/>
      <c r="K22"/>
      <c r="L22"/>
      <c r="M22"/>
      <c r="N22"/>
    </row>
    <row r="23" spans="1:14">
      <c r="A23" s="906" t="s">
        <v>4771</v>
      </c>
      <c r="B23" s="907" t="s">
        <v>4786</v>
      </c>
      <c r="C23" s="937">
        <v>-3624353.6100000013</v>
      </c>
      <c r="D23" s="937">
        <v>-322161.1099999994</v>
      </c>
      <c r="E23" s="912"/>
      <c r="F23"/>
      <c r="G23"/>
      <c r="H23"/>
      <c r="I23"/>
      <c r="J23"/>
      <c r="K23"/>
      <c r="L23"/>
      <c r="M23"/>
      <c r="N23"/>
    </row>
    <row r="24" spans="1:14">
      <c r="A24" s="901" t="s">
        <v>4787</v>
      </c>
      <c r="B24" s="908"/>
      <c r="C24" s="938">
        <v>3746887.6199999992</v>
      </c>
      <c r="D24" s="938">
        <v>5030462.3000000007</v>
      </c>
      <c r="E24" s="898"/>
      <c r="F24"/>
      <c r="G24"/>
      <c r="H24"/>
      <c r="I24"/>
      <c r="J24"/>
      <c r="K24"/>
      <c r="L24"/>
      <c r="M24"/>
      <c r="N24"/>
    </row>
    <row r="25" spans="1:14">
      <c r="A25" s="913" t="s">
        <v>4788</v>
      </c>
      <c r="B25" s="913"/>
      <c r="C25" s="941">
        <v>-3875934.7300000004</v>
      </c>
      <c r="D25" s="941">
        <v>-4378632.09</v>
      </c>
      <c r="E25" s="898"/>
      <c r="F25"/>
      <c r="G25"/>
      <c r="H25"/>
      <c r="I25"/>
      <c r="J25"/>
      <c r="K25"/>
      <c r="L25"/>
      <c r="M25"/>
      <c r="N25"/>
    </row>
    <row r="26" spans="1:14" ht="15">
      <c r="A26" s="914"/>
      <c r="B26" s="914"/>
      <c r="C26" s="942"/>
      <c r="D26" s="951"/>
      <c r="E26" s="898"/>
      <c r="F26"/>
      <c r="G26"/>
      <c r="H26"/>
      <c r="I26"/>
      <c r="J26"/>
      <c r="K26"/>
      <c r="L26"/>
      <c r="M26"/>
      <c r="N26"/>
    </row>
    <row r="27" spans="1:14" ht="22.5">
      <c r="A27" s="906" t="s">
        <v>4789</v>
      </c>
      <c r="B27" s="915" t="s">
        <v>4790</v>
      </c>
      <c r="C27" s="937">
        <v>15626</v>
      </c>
      <c r="D27" s="937">
        <v>-2046903</v>
      </c>
      <c r="E27" s="898"/>
      <c r="F27"/>
      <c r="G27"/>
      <c r="H27"/>
      <c r="I27"/>
      <c r="J27"/>
      <c r="K27"/>
      <c r="L27"/>
      <c r="M27"/>
      <c r="N27"/>
    </row>
    <row r="28" spans="1:14">
      <c r="A28" s="906" t="s">
        <v>4789</v>
      </c>
      <c r="B28" s="916" t="s">
        <v>4791</v>
      </c>
      <c r="C28" s="937">
        <v>0</v>
      </c>
      <c r="D28" s="937">
        <v>0</v>
      </c>
      <c r="E28" s="898"/>
      <c r="F28"/>
      <c r="G28"/>
      <c r="H28"/>
      <c r="I28"/>
      <c r="J28"/>
      <c r="K28"/>
      <c r="L28"/>
      <c r="M28"/>
      <c r="N28"/>
    </row>
    <row r="29" spans="1:14">
      <c r="A29" s="906" t="s">
        <v>4789</v>
      </c>
      <c r="B29" s="916" t="s">
        <v>4792</v>
      </c>
      <c r="C29" s="937">
        <v>64553</v>
      </c>
      <c r="D29" s="937">
        <v>4982744</v>
      </c>
      <c r="E29" s="898"/>
      <c r="F29"/>
      <c r="G29"/>
      <c r="H29"/>
      <c r="I29"/>
      <c r="J29"/>
      <c r="K29"/>
      <c r="L29"/>
      <c r="M29"/>
      <c r="N29"/>
    </row>
    <row r="30" spans="1:14">
      <c r="A30" s="906" t="s">
        <v>4789</v>
      </c>
      <c r="B30" s="916" t="s">
        <v>4793</v>
      </c>
      <c r="C30" s="939"/>
      <c r="D30" s="939"/>
      <c r="F30"/>
      <c r="G30"/>
      <c r="H30"/>
      <c r="I30"/>
      <c r="J30"/>
      <c r="K30"/>
      <c r="L30"/>
      <c r="M30"/>
      <c r="N30"/>
    </row>
    <row r="31" spans="1:14">
      <c r="A31" s="906" t="s">
        <v>4789</v>
      </c>
      <c r="B31" s="916" t="s">
        <v>4794</v>
      </c>
      <c r="C31" s="937">
        <v>-1663460</v>
      </c>
      <c r="D31" s="937">
        <v>1187611</v>
      </c>
      <c r="E31" s="898"/>
      <c r="F31"/>
      <c r="G31"/>
      <c r="H31"/>
      <c r="I31"/>
      <c r="J31"/>
      <c r="K31"/>
      <c r="L31"/>
      <c r="M31"/>
      <c r="N31"/>
    </row>
    <row r="32" spans="1:14">
      <c r="A32" s="906" t="s">
        <v>4789</v>
      </c>
      <c r="B32" s="916" t="s">
        <v>4795</v>
      </c>
      <c r="C32" s="937">
        <v>193805</v>
      </c>
      <c r="D32" s="937">
        <v>-47030</v>
      </c>
      <c r="E32" s="898"/>
      <c r="F32"/>
      <c r="G32"/>
      <c r="H32"/>
      <c r="I32"/>
      <c r="J32"/>
      <c r="K32"/>
      <c r="L32"/>
      <c r="M32"/>
      <c r="N32"/>
    </row>
    <row r="33" spans="1:14">
      <c r="A33" s="906" t="s">
        <v>4789</v>
      </c>
      <c r="B33" s="916" t="s">
        <v>4796</v>
      </c>
      <c r="C33" s="937">
        <v>179135</v>
      </c>
      <c r="D33" s="937">
        <v>46869</v>
      </c>
      <c r="E33" s="898"/>
      <c r="F33"/>
      <c r="G33"/>
      <c r="H33"/>
      <c r="I33"/>
      <c r="J33"/>
      <c r="K33"/>
      <c r="L33"/>
      <c r="M33"/>
      <c r="N33"/>
    </row>
    <row r="34" spans="1:14">
      <c r="A34" s="906" t="s">
        <v>4789</v>
      </c>
      <c r="B34" s="916" t="s">
        <v>4797</v>
      </c>
      <c r="C34" s="937">
        <v>1204585</v>
      </c>
      <c r="D34" s="937">
        <v>-557847</v>
      </c>
    </row>
    <row r="35" spans="1:14">
      <c r="A35" s="904" t="s">
        <v>4789</v>
      </c>
      <c r="B35" s="904" t="s">
        <v>4798</v>
      </c>
      <c r="C35" s="943">
        <v>-5756</v>
      </c>
      <c r="D35" s="943">
        <v>3565444</v>
      </c>
      <c r="E35" s="909"/>
      <c r="F35" s="909"/>
      <c r="G35" s="910"/>
    </row>
    <row r="36" spans="1:14">
      <c r="A36" s="904" t="s">
        <v>4789</v>
      </c>
      <c r="B36" s="904" t="s">
        <v>4799</v>
      </c>
      <c r="C36" s="935">
        <v>15795</v>
      </c>
      <c r="D36" s="935">
        <v>-398</v>
      </c>
      <c r="E36" s="898"/>
      <c r="F36" s="909"/>
    </row>
    <row r="37" spans="1:14">
      <c r="A37" s="906" t="s">
        <v>4789</v>
      </c>
      <c r="B37" s="916" t="s">
        <v>4800</v>
      </c>
      <c r="C37" s="937">
        <v>0</v>
      </c>
      <c r="D37" s="937">
        <v>0</v>
      </c>
    </row>
    <row r="38" spans="1:14">
      <c r="A38" s="906" t="s">
        <v>4789</v>
      </c>
      <c r="B38" s="916" t="s">
        <v>4801</v>
      </c>
      <c r="C38" s="937">
        <v>3080486</v>
      </c>
      <c r="D38" s="937">
        <v>1007577</v>
      </c>
    </row>
    <row r="39" spans="1:14">
      <c r="A39" s="906" t="s">
        <v>4789</v>
      </c>
      <c r="B39" s="916" t="s">
        <v>4802</v>
      </c>
      <c r="C39" s="937">
        <v>0</v>
      </c>
      <c r="D39" s="937">
        <v>0</v>
      </c>
    </row>
    <row r="40" spans="1:14">
      <c r="A40" s="906" t="s">
        <v>4789</v>
      </c>
      <c r="B40" s="916" t="s">
        <v>4803</v>
      </c>
      <c r="C40" s="937">
        <v>0</v>
      </c>
      <c r="D40" s="937">
        <v>0</v>
      </c>
    </row>
    <row r="41" spans="1:14">
      <c r="A41" s="906" t="s">
        <v>4789</v>
      </c>
      <c r="B41" s="916" t="s">
        <v>4804</v>
      </c>
      <c r="C41" s="937">
        <v>0</v>
      </c>
      <c r="D41" s="937">
        <v>0</v>
      </c>
    </row>
    <row r="42" spans="1:14">
      <c r="A42" s="906" t="s">
        <v>4789</v>
      </c>
      <c r="B42" s="916" t="s">
        <v>4805</v>
      </c>
      <c r="C42" s="937">
        <v>0</v>
      </c>
      <c r="D42" s="937">
        <v>0</v>
      </c>
    </row>
    <row r="43" spans="1:14">
      <c r="A43" s="906" t="s">
        <v>4789</v>
      </c>
      <c r="B43" s="916" t="s">
        <v>4806</v>
      </c>
      <c r="C43" s="937">
        <v>0</v>
      </c>
      <c r="D43" s="937">
        <v>0</v>
      </c>
    </row>
    <row r="44" spans="1:14">
      <c r="A44" s="906"/>
      <c r="B44" s="917"/>
      <c r="C44" s="937"/>
      <c r="D44" s="937"/>
      <c r="E44" s="898"/>
    </row>
    <row r="45" spans="1:14">
      <c r="A45" s="906" t="s">
        <v>4789</v>
      </c>
      <c r="B45" s="916" t="s">
        <v>4807</v>
      </c>
      <c r="C45" s="937">
        <v>-542282</v>
      </c>
      <c r="D45" s="937">
        <v>6682409</v>
      </c>
      <c r="E45" s="898"/>
    </row>
    <row r="46" spans="1:14">
      <c r="A46" s="906" t="s">
        <v>4789</v>
      </c>
      <c r="B46" s="916" t="s">
        <v>4808</v>
      </c>
      <c r="C46" s="937">
        <v>0</v>
      </c>
      <c r="D46" s="937">
        <v>0</v>
      </c>
      <c r="E46" s="898"/>
    </row>
    <row r="47" spans="1:14">
      <c r="A47" s="906" t="s">
        <v>4789</v>
      </c>
      <c r="B47" s="916" t="s">
        <v>4809</v>
      </c>
      <c r="C47" s="937">
        <v>-652400</v>
      </c>
      <c r="D47" s="937">
        <v>-1010996</v>
      </c>
      <c r="E47" s="898"/>
    </row>
    <row r="48" spans="1:14">
      <c r="A48" s="906" t="s">
        <v>4789</v>
      </c>
      <c r="B48" s="916" t="s">
        <v>4810</v>
      </c>
      <c r="C48" s="939"/>
      <c r="D48" s="939"/>
    </row>
    <row r="49" spans="1:7">
      <c r="A49" s="906" t="s">
        <v>4789</v>
      </c>
      <c r="B49" s="916" t="s">
        <v>4811</v>
      </c>
      <c r="C49" s="937">
        <v>-686</v>
      </c>
      <c r="D49" s="937">
        <v>0</v>
      </c>
      <c r="E49" s="898"/>
    </row>
    <row r="50" spans="1:7">
      <c r="A50" s="906" t="s">
        <v>4789</v>
      </c>
      <c r="B50" s="916" t="s">
        <v>4812</v>
      </c>
      <c r="C50" s="937">
        <v>2200671</v>
      </c>
      <c r="D50" s="937">
        <v>-252612.13</v>
      </c>
      <c r="E50" s="898"/>
    </row>
    <row r="51" spans="1:7">
      <c r="A51" s="904" t="s">
        <v>4789</v>
      </c>
      <c r="B51" s="904" t="s">
        <v>4813</v>
      </c>
      <c r="C51" s="935">
        <v>4085789</v>
      </c>
      <c r="D51" s="935">
        <v>6426377.8700000001</v>
      </c>
      <c r="E51" s="909"/>
      <c r="F51" s="918"/>
      <c r="G51" s="910"/>
    </row>
    <row r="52" spans="1:7">
      <c r="A52" s="911" t="s">
        <v>4789</v>
      </c>
      <c r="B52" s="916" t="s">
        <v>4814</v>
      </c>
      <c r="C52" s="940">
        <v>227200</v>
      </c>
      <c r="D52" s="940">
        <v>-219697</v>
      </c>
      <c r="E52" s="898"/>
    </row>
    <row r="53" spans="1:7">
      <c r="A53" s="911" t="s">
        <v>4789</v>
      </c>
      <c r="B53" s="916" t="s">
        <v>4815</v>
      </c>
      <c r="C53" s="940">
        <v>0</v>
      </c>
      <c r="D53" s="940">
        <v>0</v>
      </c>
      <c r="E53" s="898"/>
    </row>
    <row r="54" spans="1:7">
      <c r="A54" s="904" t="s">
        <v>4789</v>
      </c>
      <c r="B54" s="919" t="s">
        <v>4816</v>
      </c>
      <c r="C54" s="935">
        <v>227200</v>
      </c>
      <c r="D54" s="935">
        <v>-219697</v>
      </c>
      <c r="E54" s="898"/>
      <c r="G54" s="910"/>
    </row>
    <row r="55" spans="1:7">
      <c r="A55" s="904" t="s">
        <v>4789</v>
      </c>
      <c r="B55" s="904" t="s">
        <v>4817</v>
      </c>
      <c r="C55" s="935">
        <v>-12406</v>
      </c>
      <c r="D55" s="935">
        <v>62468</v>
      </c>
      <c r="E55" s="898"/>
      <c r="G55" s="910"/>
    </row>
    <row r="56" spans="1:7">
      <c r="A56" s="913" t="s">
        <v>4818</v>
      </c>
      <c r="B56" s="913"/>
      <c r="C56" s="941">
        <v>434687.26999999955</v>
      </c>
      <c r="D56" s="941">
        <v>5455562.7800000012</v>
      </c>
      <c r="E56" s="898"/>
    </row>
    <row r="57" spans="1:7" ht="15">
      <c r="A57" s="914"/>
      <c r="B57" s="914"/>
      <c r="C57" s="942"/>
      <c r="D57" s="951"/>
      <c r="E57" s="898"/>
    </row>
    <row r="58" spans="1:7">
      <c r="A58" s="901" t="s">
        <v>4819</v>
      </c>
      <c r="B58" s="902"/>
      <c r="C58" s="934"/>
      <c r="D58" s="934"/>
    </row>
    <row r="59" spans="1:7">
      <c r="A59" s="906" t="s">
        <v>4771</v>
      </c>
      <c r="B59" s="907" t="s">
        <v>4820</v>
      </c>
      <c r="C59" s="939"/>
      <c r="D59" s="939"/>
    </row>
    <row r="60" spans="1:7">
      <c r="A60" s="906" t="s">
        <v>4771</v>
      </c>
      <c r="B60" s="907" t="s">
        <v>4821</v>
      </c>
      <c r="C60" s="939"/>
      <c r="D60" s="939"/>
    </row>
    <row r="61" spans="1:7">
      <c r="A61" s="906" t="s">
        <v>4771</v>
      </c>
      <c r="B61" s="907" t="s">
        <v>4822</v>
      </c>
      <c r="C61" s="939"/>
      <c r="D61" s="939"/>
    </row>
    <row r="62" spans="1:7">
      <c r="A62" s="906" t="s">
        <v>4771</v>
      </c>
      <c r="B62" s="907" t="s">
        <v>4823</v>
      </c>
      <c r="C62" s="939"/>
      <c r="D62" s="939"/>
    </row>
    <row r="63" spans="1:7">
      <c r="A63" s="906" t="s">
        <v>4771</v>
      </c>
      <c r="B63" s="907" t="s">
        <v>4824</v>
      </c>
      <c r="C63" s="939"/>
      <c r="D63" s="939"/>
      <c r="E63" s="898"/>
    </row>
    <row r="64" spans="1:7">
      <c r="A64" s="904" t="s">
        <v>4771</v>
      </c>
      <c r="B64" s="919" t="s">
        <v>4825</v>
      </c>
      <c r="C64" s="935">
        <v>0</v>
      </c>
      <c r="D64" s="935">
        <v>0</v>
      </c>
    </row>
    <row r="65" spans="1:5">
      <c r="A65" s="906" t="s">
        <v>4764</v>
      </c>
      <c r="B65" s="907" t="s">
        <v>4826</v>
      </c>
      <c r="C65" s="939"/>
      <c r="D65" s="939"/>
    </row>
    <row r="66" spans="1:5">
      <c r="A66" s="906" t="s">
        <v>4764</v>
      </c>
      <c r="B66" s="907" t="s">
        <v>4827</v>
      </c>
      <c r="C66" s="939"/>
      <c r="D66" s="939"/>
    </row>
    <row r="67" spans="1:5">
      <c r="A67" s="906" t="s">
        <v>4764</v>
      </c>
      <c r="B67" s="907" t="s">
        <v>4828</v>
      </c>
      <c r="C67" s="939"/>
      <c r="D67" s="939"/>
    </row>
    <row r="68" spans="1:5">
      <c r="A68" s="906" t="s">
        <v>4764</v>
      </c>
      <c r="B68" s="907" t="s">
        <v>4829</v>
      </c>
      <c r="C68" s="939"/>
      <c r="D68" s="939"/>
    </row>
    <row r="69" spans="1:5">
      <c r="A69" s="906" t="s">
        <v>4764</v>
      </c>
      <c r="B69" s="907" t="s">
        <v>4830</v>
      </c>
      <c r="C69" s="939"/>
      <c r="D69" s="939"/>
      <c r="E69" s="898"/>
    </row>
    <row r="70" spans="1:5">
      <c r="A70" s="904" t="s">
        <v>4764</v>
      </c>
      <c r="B70" s="919" t="s">
        <v>4831</v>
      </c>
      <c r="C70" s="935">
        <v>0</v>
      </c>
      <c r="D70" s="935">
        <v>0</v>
      </c>
    </row>
    <row r="71" spans="1:5">
      <c r="A71" s="906" t="s">
        <v>4771</v>
      </c>
      <c r="B71" s="907" t="s">
        <v>4832</v>
      </c>
      <c r="C71" s="939"/>
      <c r="D71" s="939"/>
    </row>
    <row r="72" spans="1:5">
      <c r="A72" s="906" t="s">
        <v>4771</v>
      </c>
      <c r="B72" s="907" t="s">
        <v>4833</v>
      </c>
      <c r="C72" s="939">
        <v>-2188274</v>
      </c>
      <c r="D72" s="939"/>
    </row>
    <row r="73" spans="1:5">
      <c r="A73" s="906" t="s">
        <v>4771</v>
      </c>
      <c r="B73" s="907" t="s">
        <v>4834</v>
      </c>
      <c r="C73" s="939">
        <v>-520372.56</v>
      </c>
      <c r="D73" s="939"/>
    </row>
    <row r="74" spans="1:5">
      <c r="A74" s="906" t="s">
        <v>4771</v>
      </c>
      <c r="B74" s="907" t="s">
        <v>4835</v>
      </c>
      <c r="C74" s="939">
        <v>-2031661.24</v>
      </c>
      <c r="D74" s="939">
        <v>-2177842.5</v>
      </c>
    </row>
    <row r="75" spans="1:5">
      <c r="A75" s="906" t="s">
        <v>4771</v>
      </c>
      <c r="B75" s="907" t="s">
        <v>4836</v>
      </c>
      <c r="C75" s="939">
        <v>-222977.42</v>
      </c>
      <c r="D75" s="939">
        <v>-271220</v>
      </c>
    </row>
    <row r="76" spans="1:5">
      <c r="A76" s="906" t="s">
        <v>4771</v>
      </c>
      <c r="B76" s="907" t="s">
        <v>4837</v>
      </c>
      <c r="C76" s="939"/>
      <c r="D76" s="939"/>
    </row>
    <row r="77" spans="1:5">
      <c r="A77" s="906" t="s">
        <v>4771</v>
      </c>
      <c r="B77" s="907" t="s">
        <v>4838</v>
      </c>
      <c r="C77" s="939">
        <v>-260568.78</v>
      </c>
      <c r="D77" s="939">
        <v>-101697</v>
      </c>
    </row>
    <row r="78" spans="1:5">
      <c r="A78" s="906" t="s">
        <v>4771</v>
      </c>
      <c r="B78" s="907" t="s">
        <v>4839</v>
      </c>
      <c r="C78" s="939">
        <v>-2000251.08</v>
      </c>
      <c r="D78" s="939">
        <v>-2258522</v>
      </c>
      <c r="E78" s="898"/>
    </row>
    <row r="79" spans="1:5">
      <c r="A79" s="904" t="s">
        <v>4771</v>
      </c>
      <c r="B79" s="919" t="s">
        <v>4840</v>
      </c>
      <c r="C79" s="935">
        <v>-7224105.0800000001</v>
      </c>
      <c r="D79" s="935">
        <v>-4809281.5</v>
      </c>
    </row>
    <row r="80" spans="1:5">
      <c r="A80" s="906" t="s">
        <v>4764</v>
      </c>
      <c r="B80" s="907" t="s">
        <v>4841</v>
      </c>
      <c r="C80" s="939"/>
      <c r="D80" s="939"/>
    </row>
    <row r="81" spans="1:5">
      <c r="A81" s="906" t="s">
        <v>4764</v>
      </c>
      <c r="B81" s="907" t="s">
        <v>4842</v>
      </c>
      <c r="C81" s="939"/>
      <c r="D81" s="939">
        <v>367859</v>
      </c>
    </row>
    <row r="82" spans="1:5">
      <c r="A82" s="906" t="s">
        <v>4764</v>
      </c>
      <c r="B82" s="907" t="s">
        <v>4843</v>
      </c>
      <c r="C82" s="939"/>
      <c r="D82" s="939"/>
    </row>
    <row r="83" spans="1:5">
      <c r="A83" s="906" t="s">
        <v>4764</v>
      </c>
      <c r="B83" s="907" t="s">
        <v>4844</v>
      </c>
      <c r="C83" s="939">
        <v>2357</v>
      </c>
      <c r="D83" s="939">
        <v>5722</v>
      </c>
    </row>
    <row r="84" spans="1:5">
      <c r="A84" s="906" t="s">
        <v>4764</v>
      </c>
      <c r="B84" s="907" t="s">
        <v>4845</v>
      </c>
      <c r="C84" s="939"/>
      <c r="D84" s="939"/>
    </row>
    <row r="85" spans="1:5">
      <c r="A85" s="906" t="s">
        <v>4764</v>
      </c>
      <c r="B85" s="907" t="s">
        <v>4846</v>
      </c>
      <c r="C85" s="939"/>
      <c r="D85" s="939"/>
    </row>
    <row r="86" spans="1:5">
      <c r="A86" s="906" t="s">
        <v>4764</v>
      </c>
      <c r="B86" s="907" t="s">
        <v>4847</v>
      </c>
      <c r="C86" s="939"/>
      <c r="D86" s="939"/>
      <c r="E86" s="898"/>
    </row>
    <row r="87" spans="1:5">
      <c r="A87" s="904" t="s">
        <v>4764</v>
      </c>
      <c r="B87" s="919" t="s">
        <v>4848</v>
      </c>
      <c r="C87" s="935">
        <v>2357</v>
      </c>
      <c r="D87" s="935">
        <v>373581</v>
      </c>
    </row>
    <row r="88" spans="1:5">
      <c r="A88" s="906" t="s">
        <v>4771</v>
      </c>
      <c r="B88" s="907" t="s">
        <v>4849</v>
      </c>
      <c r="C88" s="939"/>
      <c r="D88" s="939"/>
    </row>
    <row r="89" spans="1:5">
      <c r="A89" s="906" t="s">
        <v>4771</v>
      </c>
      <c r="B89" s="907" t="s">
        <v>4850</v>
      </c>
      <c r="C89" s="939"/>
      <c r="D89" s="939"/>
      <c r="E89" s="898"/>
    </row>
    <row r="90" spans="1:5">
      <c r="A90" s="904" t="s">
        <v>4771</v>
      </c>
      <c r="B90" s="919" t="s">
        <v>4851</v>
      </c>
      <c r="C90" s="935">
        <v>0</v>
      </c>
      <c r="D90" s="935">
        <v>0</v>
      </c>
    </row>
    <row r="91" spans="1:5">
      <c r="A91" s="906" t="s">
        <v>4764</v>
      </c>
      <c r="B91" s="907" t="s">
        <v>4852</v>
      </c>
      <c r="C91" s="939"/>
      <c r="D91" s="939">
        <v>3000</v>
      </c>
    </row>
    <row r="92" spans="1:5">
      <c r="A92" s="906" t="s">
        <v>4764</v>
      </c>
      <c r="B92" s="907" t="s">
        <v>4853</v>
      </c>
      <c r="C92" s="939"/>
      <c r="D92" s="939"/>
      <c r="E92" s="898"/>
    </row>
    <row r="93" spans="1:5">
      <c r="A93" s="904" t="s">
        <v>4764</v>
      </c>
      <c r="B93" s="919" t="s">
        <v>4854</v>
      </c>
      <c r="C93" s="935">
        <v>0</v>
      </c>
      <c r="D93" s="935">
        <v>3000</v>
      </c>
    </row>
    <row r="94" spans="1:5">
      <c r="A94" s="904" t="s">
        <v>4780</v>
      </c>
      <c r="B94" s="919" t="s">
        <v>4855</v>
      </c>
      <c r="C94" s="944"/>
      <c r="D94" s="944"/>
      <c r="E94" s="909"/>
    </row>
    <row r="95" spans="1:5">
      <c r="A95" s="913" t="s">
        <v>4856</v>
      </c>
      <c r="B95" s="913"/>
      <c r="C95" s="941">
        <v>-7221748.0800000001</v>
      </c>
      <c r="D95" s="941">
        <v>-4432700.5</v>
      </c>
      <c r="E95" s="909"/>
    </row>
    <row r="96" spans="1:5" ht="15">
      <c r="A96" s="914"/>
      <c r="B96" s="914"/>
      <c r="C96" s="942"/>
      <c r="D96" s="951"/>
      <c r="E96" s="898"/>
    </row>
    <row r="97" spans="1:6">
      <c r="A97" s="901" t="s">
        <v>4857</v>
      </c>
      <c r="B97" s="902"/>
      <c r="C97" s="934"/>
      <c r="D97" s="946"/>
      <c r="E97" s="898"/>
    </row>
    <row r="98" spans="1:6">
      <c r="A98" s="906" t="s">
        <v>4789</v>
      </c>
      <c r="B98" s="906" t="s">
        <v>4858</v>
      </c>
      <c r="C98" s="937">
        <v>-635403</v>
      </c>
      <c r="D98" s="937">
        <v>368084</v>
      </c>
      <c r="E98" s="898"/>
    </row>
    <row r="99" spans="1:6">
      <c r="A99" s="906" t="s">
        <v>4789</v>
      </c>
      <c r="B99" s="906" t="s">
        <v>4859</v>
      </c>
      <c r="C99" s="937">
        <v>-1452440</v>
      </c>
      <c r="D99" s="937">
        <v>191744</v>
      </c>
      <c r="E99" s="898"/>
    </row>
    <row r="100" spans="1:6">
      <c r="A100" s="906" t="s">
        <v>4789</v>
      </c>
      <c r="B100" s="906" t="s">
        <v>4860</v>
      </c>
      <c r="C100" s="937">
        <v>0</v>
      </c>
      <c r="D100" s="937">
        <v>0</v>
      </c>
      <c r="E100" s="898"/>
    </row>
    <row r="101" spans="1:6">
      <c r="A101" s="906" t="s">
        <v>4789</v>
      </c>
      <c r="B101" s="906" t="s">
        <v>4861</v>
      </c>
      <c r="C101" s="937">
        <v>0</v>
      </c>
      <c r="D101" s="937">
        <v>0</v>
      </c>
      <c r="E101" s="898"/>
    </row>
    <row r="102" spans="1:6">
      <c r="A102" s="906" t="s">
        <v>4789</v>
      </c>
      <c r="B102" s="906" t="s">
        <v>4862</v>
      </c>
      <c r="C102" s="937">
        <v>0</v>
      </c>
      <c r="D102" s="937">
        <v>0</v>
      </c>
      <c r="E102" s="898"/>
      <c r="F102" s="909"/>
    </row>
    <row r="103" spans="1:6">
      <c r="A103" s="904" t="s">
        <v>4764</v>
      </c>
      <c r="B103" s="904" t="s">
        <v>4863</v>
      </c>
      <c r="C103" s="935">
        <v>-2087843</v>
      </c>
      <c r="D103" s="935">
        <v>559828</v>
      </c>
      <c r="E103" s="909"/>
    </row>
    <row r="104" spans="1:6">
      <c r="A104" s="906" t="s">
        <v>4764</v>
      </c>
      <c r="B104" s="906" t="s">
        <v>4864</v>
      </c>
      <c r="C104" s="937">
        <v>9001706.9299999997</v>
      </c>
      <c r="D104" s="937">
        <v>4472065.7200000007</v>
      </c>
      <c r="E104" s="898"/>
    </row>
    <row r="105" spans="1:6">
      <c r="A105" s="906" t="s">
        <v>4789</v>
      </c>
      <c r="B105" s="906" t="s">
        <v>4865</v>
      </c>
      <c r="C105" s="937">
        <v>-285720</v>
      </c>
      <c r="D105" s="937">
        <v>630982.99999999953</v>
      </c>
      <c r="E105" s="898"/>
    </row>
    <row r="106" spans="1:6">
      <c r="A106" s="904" t="s">
        <v>4789</v>
      </c>
      <c r="B106" s="919" t="s">
        <v>4866</v>
      </c>
      <c r="C106" s="935">
        <v>8715986.9299999997</v>
      </c>
      <c r="D106" s="935">
        <v>5103048.7200000007</v>
      </c>
      <c r="E106" s="898"/>
      <c r="F106" s="909"/>
    </row>
    <row r="107" spans="1:6">
      <c r="A107" s="904" t="s">
        <v>4789</v>
      </c>
      <c r="B107" s="920" t="s">
        <v>4867</v>
      </c>
      <c r="C107" s="935">
        <v>0</v>
      </c>
      <c r="D107" s="935">
        <v>0</v>
      </c>
      <c r="E107" s="898"/>
    </row>
    <row r="108" spans="1:6">
      <c r="A108" s="906" t="s">
        <v>4764</v>
      </c>
      <c r="B108" s="906" t="s">
        <v>4868</v>
      </c>
      <c r="C108" s="939"/>
      <c r="D108" s="939"/>
    </row>
    <row r="109" spans="1:6">
      <c r="A109" s="906" t="s">
        <v>4771</v>
      </c>
      <c r="B109" s="906" t="s">
        <v>4869</v>
      </c>
      <c r="C109" s="937">
        <v>0</v>
      </c>
      <c r="D109" s="937">
        <v>0</v>
      </c>
      <c r="E109" s="898"/>
    </row>
    <row r="110" spans="1:6">
      <c r="A110" s="913" t="s">
        <v>4870</v>
      </c>
      <c r="B110" s="913"/>
      <c r="C110" s="941">
        <v>6628143.9299999997</v>
      </c>
      <c r="D110" s="941">
        <v>5662876.7200000007</v>
      </c>
      <c r="E110" s="898"/>
    </row>
    <row r="111" spans="1:6">
      <c r="A111" s="906"/>
      <c r="B111" s="906"/>
      <c r="C111" s="945"/>
      <c r="D111" s="940"/>
      <c r="E111" s="898"/>
    </row>
    <row r="112" spans="1:6">
      <c r="A112" s="901" t="s">
        <v>4871</v>
      </c>
      <c r="B112" s="902"/>
      <c r="C112" s="946">
        <v>-158916.88000000082</v>
      </c>
      <c r="D112" s="946">
        <v>6685739.0000000019</v>
      </c>
      <c r="E112" s="912"/>
    </row>
    <row r="113" spans="1:5">
      <c r="A113" s="919" t="s">
        <v>4872</v>
      </c>
      <c r="B113" s="921"/>
      <c r="C113" s="947">
        <v>-158917</v>
      </c>
      <c r="D113" s="947">
        <v>6685739</v>
      </c>
      <c r="E113" s="912"/>
    </row>
    <row r="114" spans="1:5">
      <c r="A114" s="906"/>
      <c r="B114" s="922"/>
      <c r="C114" s="933"/>
      <c r="D114" s="900"/>
      <c r="E114" s="898"/>
    </row>
    <row r="115" spans="1:5">
      <c r="A115" s="923" t="s">
        <v>4873</v>
      </c>
      <c r="B115" s="924"/>
      <c r="C115" s="948">
        <v>0.11999999918043613</v>
      </c>
      <c r="D115" s="925"/>
      <c r="E115" s="90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2" fitToHeight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47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1075" t="s">
        <v>2218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</row>
    <row r="2" spans="1:12" ht="13.5" thickBot="1"/>
    <row r="3" spans="1:12" ht="16.899999999999999" customHeight="1" thickTop="1">
      <c r="A3" s="1066" t="s">
        <v>2121</v>
      </c>
      <c r="B3" s="300"/>
      <c r="C3" s="1069" t="s">
        <v>2122</v>
      </c>
      <c r="D3" s="1065" t="s">
        <v>2113</v>
      </c>
      <c r="E3" s="1065" t="s">
        <v>2114</v>
      </c>
      <c r="F3" s="1068" t="s">
        <v>2115</v>
      </c>
      <c r="G3" s="1068"/>
      <c r="H3" s="1065" t="s">
        <v>2109</v>
      </c>
      <c r="I3" s="1065" t="s">
        <v>2110</v>
      </c>
      <c r="J3" s="1065" t="s">
        <v>2111</v>
      </c>
      <c r="K3" s="1065" t="s">
        <v>2106</v>
      </c>
      <c r="L3" s="1065" t="s">
        <v>2107</v>
      </c>
    </row>
    <row r="4" spans="1:12" ht="93" customHeight="1">
      <c r="A4" s="1067"/>
      <c r="B4" s="301"/>
      <c r="C4" s="1070"/>
      <c r="D4" s="1065"/>
      <c r="E4" s="1065"/>
      <c r="F4" s="1065" t="s">
        <v>2116</v>
      </c>
      <c r="G4" s="1065" t="s">
        <v>2117</v>
      </c>
      <c r="H4" s="1065"/>
      <c r="I4" s="1065"/>
      <c r="J4" s="1065"/>
      <c r="K4" s="1065"/>
      <c r="L4" s="1065"/>
    </row>
    <row r="5" spans="1:12" ht="15.75">
      <c r="A5" s="253" t="s">
        <v>2123</v>
      </c>
      <c r="B5" s="302"/>
      <c r="C5" s="1071"/>
      <c r="D5" s="1065"/>
      <c r="E5" s="1065"/>
      <c r="F5" s="1065"/>
      <c r="G5" s="1065"/>
      <c r="H5" s="1065"/>
      <c r="I5" s="1065"/>
      <c r="J5" s="1065"/>
      <c r="K5" s="1065"/>
      <c r="L5" s="1065"/>
    </row>
    <row r="6" spans="1:12" ht="25.5">
      <c r="A6" s="254" t="s">
        <v>2124</v>
      </c>
      <c r="B6" s="303" t="s">
        <v>2125</v>
      </c>
      <c r="C6" s="282" t="s">
        <v>2126</v>
      </c>
      <c r="D6" s="288" t="e">
        <f>+'CE Min'!#REF!</f>
        <v>#REF!</v>
      </c>
      <c r="E6" s="288" t="e">
        <f>+'CE Min'!#REF!</f>
        <v>#REF!</v>
      </c>
      <c r="F6" s="288" t="e">
        <f>+'CE Min'!#REF!</f>
        <v>#REF!</v>
      </c>
      <c r="G6" s="288" t="e">
        <f>+'CE Min'!#REF!</f>
        <v>#REF!</v>
      </c>
      <c r="H6" s="288" t="e">
        <f>+'CE Min'!#REF!</f>
        <v>#REF!</v>
      </c>
      <c r="I6" s="288" t="e">
        <f>+'CE Min'!#REF!</f>
        <v>#REF!</v>
      </c>
      <c r="J6" s="288" t="e">
        <f>+'CE Min'!#REF!</f>
        <v>#REF!</v>
      </c>
      <c r="K6" s="288" t="e">
        <f>+'CE Min'!#REF!</f>
        <v>#REF!</v>
      </c>
      <c r="L6" s="288" t="e">
        <f>+'CE Min'!#REF!</f>
        <v>#REF!</v>
      </c>
    </row>
    <row r="7" spans="1:12" ht="25.5">
      <c r="A7" s="255" t="s">
        <v>2127</v>
      </c>
      <c r="B7" s="304">
        <f>+B6+1</f>
        <v>2</v>
      </c>
      <c r="C7" s="283" t="s">
        <v>202</v>
      </c>
      <c r="D7" s="288" t="e">
        <f>+'CE Min'!#REF!</f>
        <v>#REF!</v>
      </c>
      <c r="E7" s="288" t="e">
        <f>+'CE Min'!#REF!</f>
        <v>#REF!</v>
      </c>
      <c r="F7" s="288" t="e">
        <f>+'CE Min'!#REF!</f>
        <v>#REF!</v>
      </c>
      <c r="G7" s="288" t="e">
        <f>+'CE Min'!#REF!</f>
        <v>#REF!</v>
      </c>
      <c r="H7" s="288" t="e">
        <f>+'CE Min'!#REF!</f>
        <v>#REF!</v>
      </c>
      <c r="I7" s="288" t="e">
        <f>+'CE Min'!#REF!</f>
        <v>#REF!</v>
      </c>
      <c r="J7" s="288" t="e">
        <f>+'CE Min'!#REF!</f>
        <v>#REF!</v>
      </c>
      <c r="K7" s="288" t="e">
        <f>+'CE Min'!#REF!</f>
        <v>#REF!</v>
      </c>
      <c r="L7" s="288" t="e">
        <f>+'CE Min'!#REF!</f>
        <v>#REF!</v>
      </c>
    </row>
    <row r="8" spans="1:12">
      <c r="A8" s="255" t="s">
        <v>2128</v>
      </c>
      <c r="B8" s="304">
        <f t="shared" ref="B8:B18" si="0">+B7+1</f>
        <v>3</v>
      </c>
      <c r="C8" s="283" t="s">
        <v>157</v>
      </c>
      <c r="D8" s="288" t="e">
        <f>+'CE Min'!#REF!</f>
        <v>#REF!</v>
      </c>
      <c r="E8" s="288" t="e">
        <f>+'CE Min'!#REF!</f>
        <v>#REF!</v>
      </c>
      <c r="F8" s="288" t="e">
        <f>+'CE Min'!#REF!</f>
        <v>#REF!</v>
      </c>
      <c r="G8" s="288" t="e">
        <f>+'CE Min'!#REF!</f>
        <v>#REF!</v>
      </c>
      <c r="H8" s="288" t="e">
        <f>+'CE Min'!#REF!</f>
        <v>#REF!</v>
      </c>
      <c r="I8" s="288" t="e">
        <f>+'CE Min'!#REF!</f>
        <v>#REF!</v>
      </c>
      <c r="J8" s="288" t="e">
        <f>+'CE Min'!#REF!</f>
        <v>#REF!</v>
      </c>
      <c r="K8" s="288" t="e">
        <f>+'CE Min'!#REF!</f>
        <v>#REF!</v>
      </c>
      <c r="L8" s="288" t="e">
        <f>+'CE Min'!#REF!</f>
        <v>#REF!</v>
      </c>
    </row>
    <row r="9" spans="1:12">
      <c r="A9" s="255" t="s">
        <v>2129</v>
      </c>
      <c r="B9" s="304">
        <f t="shared" si="0"/>
        <v>4</v>
      </c>
      <c r="C9" s="283" t="s">
        <v>158</v>
      </c>
      <c r="D9" s="288" t="e">
        <f>+'CE Min'!#REF!</f>
        <v>#REF!</v>
      </c>
      <c r="E9" s="288" t="e">
        <f>+'CE Min'!#REF!</f>
        <v>#REF!</v>
      </c>
      <c r="F9" s="288" t="e">
        <f>+'CE Min'!#REF!</f>
        <v>#REF!</v>
      </c>
      <c r="G9" s="288" t="e">
        <f>+'CE Min'!#REF!</f>
        <v>#REF!</v>
      </c>
      <c r="H9" s="288" t="e">
        <f>+'CE Min'!#REF!</f>
        <v>#REF!</v>
      </c>
      <c r="I9" s="288" t="e">
        <f>+'CE Min'!#REF!</f>
        <v>#REF!</v>
      </c>
      <c r="J9" s="288" t="e">
        <f>+'CE Min'!#REF!</f>
        <v>#REF!</v>
      </c>
      <c r="K9" s="288" t="e">
        <f>+'CE Min'!#REF!</f>
        <v>#REF!</v>
      </c>
      <c r="L9" s="288" t="e">
        <f>+'CE Min'!#REF!</f>
        <v>#REF!</v>
      </c>
    </row>
    <row r="10" spans="1:12" ht="25.5">
      <c r="A10" s="256" t="s">
        <v>2130</v>
      </c>
      <c r="B10" s="304">
        <f t="shared" si="0"/>
        <v>5</v>
      </c>
      <c r="C10" s="283" t="s">
        <v>206</v>
      </c>
      <c r="D10" s="288" t="e">
        <f>+'CE Min'!#REF!</f>
        <v>#REF!</v>
      </c>
      <c r="E10" s="288" t="e">
        <f>+'CE Min'!#REF!</f>
        <v>#REF!</v>
      </c>
      <c r="F10" s="288" t="e">
        <f>+'CE Min'!#REF!</f>
        <v>#REF!</v>
      </c>
      <c r="G10" s="288" t="e">
        <f>+'CE Min'!#REF!</f>
        <v>#REF!</v>
      </c>
      <c r="H10" s="288" t="e">
        <f>+'CE Min'!#REF!</f>
        <v>#REF!</v>
      </c>
      <c r="I10" s="288" t="e">
        <f>+'CE Min'!#REF!</f>
        <v>#REF!</v>
      </c>
      <c r="J10" s="288" t="e">
        <f>+'CE Min'!#REF!</f>
        <v>#REF!</v>
      </c>
      <c r="K10" s="288" t="e">
        <f>+'CE Min'!#REF!</f>
        <v>#REF!</v>
      </c>
      <c r="L10" s="288" t="e">
        <f>+'CE Min'!#REF!</f>
        <v>#REF!</v>
      </c>
    </row>
    <row r="11" spans="1:12" ht="25.5">
      <c r="A11" s="256" t="s">
        <v>2131</v>
      </c>
      <c r="B11" s="304">
        <f t="shared" si="0"/>
        <v>6</v>
      </c>
      <c r="C11" s="283" t="s">
        <v>2132</v>
      </c>
      <c r="D11" s="288" t="e">
        <f>+'CE Min'!#REF!-'ce art. 44'!D8-'ce art. 44'!D9+'CE Min'!#REF!+'CE Min'!#REF!</f>
        <v>#REF!</v>
      </c>
      <c r="E11" s="288" t="e">
        <f>+'CE Min'!#REF!-'ce art. 44'!E8-'ce art. 44'!E9+'CE Min'!#REF!+'CE Min'!#REF!</f>
        <v>#REF!</v>
      </c>
      <c r="F11" s="288" t="e">
        <f>+'CE Min'!#REF!-'ce art. 44'!F8-'ce art. 44'!F9+'CE Min'!#REF!+'CE Min'!#REF!</f>
        <v>#REF!</v>
      </c>
      <c r="G11" s="288" t="e">
        <f>+'CE Min'!#REF!-'ce art. 44'!G8-'ce art. 44'!G9+'CE Min'!#REF!+'CE Min'!#REF!</f>
        <v>#REF!</v>
      </c>
      <c r="H11" s="288" t="e">
        <f>+'CE Min'!#REF!-'ce art. 44'!H8-'ce art. 44'!H9+'CE Min'!#REF!+'CE Min'!#REF!</f>
        <v>#REF!</v>
      </c>
      <c r="I11" s="288" t="e">
        <f>+'CE Min'!#REF!-'ce art. 44'!I8-'ce art. 44'!I9+'CE Min'!#REF!+'CE Min'!#REF!</f>
        <v>#REF!</v>
      </c>
      <c r="J11" s="288" t="e">
        <f>+'CE Min'!#REF!-'ce art. 44'!J8-'ce art. 44'!J9+'CE Min'!#REF!+'CE Min'!#REF!</f>
        <v>#REF!</v>
      </c>
      <c r="K11" s="288" t="e">
        <f>+'CE Min'!#REF!-'ce art. 44'!K8-'ce art. 44'!K9+'CE Min'!#REF!+'CE Min'!#REF!</f>
        <v>#REF!</v>
      </c>
      <c r="L11" s="288" t="e">
        <f>+'CE Min'!#REF!-'ce art. 44'!L8-'ce art. 44'!L9+'CE Min'!#REF!+'CE Min'!#REF!</f>
        <v>#REF!</v>
      </c>
    </row>
    <row r="12" spans="1:12">
      <c r="A12" s="256" t="s">
        <v>2133</v>
      </c>
      <c r="B12" s="304">
        <f t="shared" si="0"/>
        <v>7</v>
      </c>
      <c r="C12" s="283" t="s">
        <v>422</v>
      </c>
      <c r="D12" s="288" t="e">
        <f>+'CE Min'!#REF!</f>
        <v>#REF!</v>
      </c>
      <c r="E12" s="288" t="e">
        <f>+'CE Min'!#REF!</f>
        <v>#REF!</v>
      </c>
      <c r="F12" s="288" t="e">
        <f>+'CE Min'!#REF!</f>
        <v>#REF!</v>
      </c>
      <c r="G12" s="288" t="e">
        <f>+'CE Min'!#REF!</f>
        <v>#REF!</v>
      </c>
      <c r="H12" s="288" t="e">
        <f>+'CE Min'!#REF!</f>
        <v>#REF!</v>
      </c>
      <c r="I12" s="288" t="e">
        <f>+'CE Min'!#REF!</f>
        <v>#REF!</v>
      </c>
      <c r="J12" s="288" t="e">
        <f>+'CE Min'!#REF!</f>
        <v>#REF!</v>
      </c>
      <c r="K12" s="288" t="e">
        <f>+'CE Min'!#REF!</f>
        <v>#REF!</v>
      </c>
      <c r="L12" s="288" t="e">
        <f>+'CE Min'!#REF!</f>
        <v>#REF!</v>
      </c>
    </row>
    <row r="13" spans="1:12">
      <c r="A13" s="256" t="s">
        <v>2134</v>
      </c>
      <c r="B13" s="304">
        <f t="shared" si="0"/>
        <v>8</v>
      </c>
      <c r="C13" s="284" t="s">
        <v>398</v>
      </c>
      <c r="D13" s="288" t="e">
        <f>+'CE Min'!#REF!</f>
        <v>#REF!</v>
      </c>
      <c r="E13" s="288" t="e">
        <f>+'CE Min'!#REF!</f>
        <v>#REF!</v>
      </c>
      <c r="F13" s="288" t="e">
        <f>+'CE Min'!#REF!</f>
        <v>#REF!</v>
      </c>
      <c r="G13" s="288" t="e">
        <f>+'CE Min'!#REF!</f>
        <v>#REF!</v>
      </c>
      <c r="H13" s="288" t="e">
        <f>+'CE Min'!#REF!</f>
        <v>#REF!</v>
      </c>
      <c r="I13" s="288" t="e">
        <f>+'CE Min'!#REF!</f>
        <v>#REF!</v>
      </c>
      <c r="J13" s="288" t="e">
        <f>+'CE Min'!#REF!</f>
        <v>#REF!</v>
      </c>
      <c r="K13" s="288" t="e">
        <f>+'CE Min'!#REF!</f>
        <v>#REF!</v>
      </c>
      <c r="L13" s="288" t="e">
        <f>+'CE Min'!#REF!</f>
        <v>#REF!</v>
      </c>
    </row>
    <row r="14" spans="1:12" ht="66.599999999999994" customHeight="1">
      <c r="A14" s="256" t="s">
        <v>2135</v>
      </c>
      <c r="B14" s="304">
        <f t="shared" si="0"/>
        <v>9</v>
      </c>
      <c r="C14" s="285" t="s">
        <v>2136</v>
      </c>
      <c r="D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288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57" t="s">
        <v>2137</v>
      </c>
      <c r="B15" s="304">
        <f t="shared" si="0"/>
        <v>10</v>
      </c>
      <c r="C15" s="283" t="s">
        <v>204</v>
      </c>
      <c r="D15" s="288" t="e">
        <f>+'CE Min'!#REF!</f>
        <v>#REF!</v>
      </c>
      <c r="E15" s="288" t="e">
        <f>+'CE Min'!#REF!</f>
        <v>#REF!</v>
      </c>
      <c r="F15" s="288" t="e">
        <f>+'CE Min'!#REF!</f>
        <v>#REF!</v>
      </c>
      <c r="G15" s="288" t="e">
        <f>+'CE Min'!#REF!</f>
        <v>#REF!</v>
      </c>
      <c r="H15" s="288" t="e">
        <f>+'CE Min'!#REF!</f>
        <v>#REF!</v>
      </c>
      <c r="I15" s="288" t="e">
        <f>+'CE Min'!#REF!</f>
        <v>#REF!</v>
      </c>
      <c r="J15" s="288" t="e">
        <f>+'CE Min'!#REF!</f>
        <v>#REF!</v>
      </c>
      <c r="K15" s="288" t="e">
        <f>+'CE Min'!#REF!</f>
        <v>#REF!</v>
      </c>
      <c r="L15" s="288" t="e">
        <f>+'CE Min'!#REF!</f>
        <v>#REF!</v>
      </c>
    </row>
    <row r="16" spans="1:12">
      <c r="A16" s="256" t="s">
        <v>2138</v>
      </c>
      <c r="B16" s="304">
        <f t="shared" si="0"/>
        <v>11</v>
      </c>
      <c r="C16" s="283" t="s">
        <v>2139</v>
      </c>
      <c r="D16" s="288" t="e">
        <f>+'CE Min'!#REF!+'CE Min'!#REF!</f>
        <v>#REF!</v>
      </c>
      <c r="E16" s="288" t="e">
        <f>+'CE Min'!#REF!+'CE Min'!#REF!</f>
        <v>#REF!</v>
      </c>
      <c r="F16" s="288" t="e">
        <f>+'CE Min'!#REF!+'CE Min'!#REF!</f>
        <v>#REF!</v>
      </c>
      <c r="G16" s="288" t="e">
        <f>+'CE Min'!#REF!+'CE Min'!#REF!</f>
        <v>#REF!</v>
      </c>
      <c r="H16" s="288" t="e">
        <f>+'CE Min'!#REF!+'CE Min'!#REF!</f>
        <v>#REF!</v>
      </c>
      <c r="I16" s="288" t="e">
        <f>+'CE Min'!#REF!+'CE Min'!#REF!</f>
        <v>#REF!</v>
      </c>
      <c r="J16" s="288" t="e">
        <f>+'CE Min'!#REF!+'CE Min'!#REF!</f>
        <v>#REF!</v>
      </c>
      <c r="K16" s="288" t="e">
        <f>+'CE Min'!#REF!+'CE Min'!#REF!</f>
        <v>#REF!</v>
      </c>
      <c r="L16" s="288" t="e">
        <f>+'CE Min'!#REF!+'CE Min'!#REF!</f>
        <v>#REF!</v>
      </c>
    </row>
    <row r="17" spans="1:12">
      <c r="A17" s="258" t="s">
        <v>2140</v>
      </c>
      <c r="B17" s="304">
        <f>+B16+1</f>
        <v>12</v>
      </c>
      <c r="C17" s="285" t="s">
        <v>221</v>
      </c>
      <c r="D17" s="288" t="e">
        <f>+'CE Min'!#REF!</f>
        <v>#REF!</v>
      </c>
      <c r="E17" s="288" t="e">
        <f>+'CE Min'!#REF!</f>
        <v>#REF!</v>
      </c>
      <c r="F17" s="288" t="e">
        <f>+'CE Min'!#REF!</f>
        <v>#REF!</v>
      </c>
      <c r="G17" s="288" t="e">
        <f>+'CE Min'!#REF!</f>
        <v>#REF!</v>
      </c>
      <c r="H17" s="288" t="e">
        <f>+'CE Min'!#REF!</f>
        <v>#REF!</v>
      </c>
      <c r="I17" s="288" t="e">
        <f>+'CE Min'!#REF!</f>
        <v>#REF!</v>
      </c>
      <c r="J17" s="288" t="e">
        <f>+'CE Min'!#REF!</f>
        <v>#REF!</v>
      </c>
      <c r="K17" s="288" t="e">
        <f>+'CE Min'!#REF!</f>
        <v>#REF!</v>
      </c>
      <c r="L17" s="288" t="e">
        <f>+'CE Min'!#REF!</f>
        <v>#REF!</v>
      </c>
    </row>
    <row r="18" spans="1:12" ht="65.650000000000006" customHeight="1">
      <c r="A18" s="259" t="s">
        <v>2141</v>
      </c>
      <c r="B18" s="305">
        <f t="shared" si="0"/>
        <v>13</v>
      </c>
      <c r="C18" s="286" t="s">
        <v>2142</v>
      </c>
      <c r="D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288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60" t="s">
        <v>2143</v>
      </c>
      <c r="B19" s="306" t="s">
        <v>2144</v>
      </c>
      <c r="C19" s="287"/>
      <c r="D19" s="288" t="e">
        <f>D6+D7+D8+D9+D10+D11+D12+D13+D14+D15+D16+D17+D18</f>
        <v>#REF!</v>
      </c>
      <c r="E19" s="288" t="e">
        <f t="shared" ref="E19:L19" si="1">E6+E7+E8+E9+E10+E11+E12+E13+E14+E15+E16+E17+E18</f>
        <v>#REF!</v>
      </c>
      <c r="F19" s="288" t="e">
        <f t="shared" si="1"/>
        <v>#REF!</v>
      </c>
      <c r="G19" s="288" t="e">
        <f t="shared" si="1"/>
        <v>#REF!</v>
      </c>
      <c r="H19" s="288" t="e">
        <f t="shared" si="1"/>
        <v>#REF!</v>
      </c>
      <c r="I19" s="288" t="e">
        <f t="shared" si="1"/>
        <v>#REF!</v>
      </c>
      <c r="J19" s="288" t="e">
        <f t="shared" si="1"/>
        <v>#REF!</v>
      </c>
      <c r="K19" s="288" t="e">
        <f t="shared" si="1"/>
        <v>#REF!</v>
      </c>
      <c r="L19" s="288" t="e">
        <f t="shared" si="1"/>
        <v>#REF!</v>
      </c>
    </row>
    <row r="20" spans="1:12" ht="13.5" thickTop="1">
      <c r="A20" s="261"/>
      <c r="B20" s="307"/>
      <c r="C20" s="262"/>
    </row>
    <row r="21" spans="1:12" ht="13.5" thickBot="1">
      <c r="A21" s="263"/>
      <c r="B21" s="308"/>
      <c r="C21" s="264"/>
    </row>
    <row r="22" spans="1:12" ht="23.65" customHeight="1" thickTop="1">
      <c r="A22" s="1066" t="s">
        <v>2145</v>
      </c>
      <c r="B22" s="300"/>
      <c r="C22" s="1072" t="s">
        <v>2122</v>
      </c>
      <c r="D22" s="1065" t="s">
        <v>2113</v>
      </c>
      <c r="E22" s="1065" t="s">
        <v>2114</v>
      </c>
      <c r="F22" s="1068" t="s">
        <v>2115</v>
      </c>
      <c r="G22" s="1068"/>
      <c r="H22" s="1065" t="s">
        <v>2109</v>
      </c>
      <c r="I22" s="1065" t="s">
        <v>2110</v>
      </c>
      <c r="J22" s="1065" t="s">
        <v>2111</v>
      </c>
      <c r="K22" s="1065" t="s">
        <v>2106</v>
      </c>
      <c r="L22" s="1065" t="s">
        <v>2107</v>
      </c>
    </row>
    <row r="23" spans="1:12" ht="28.9" customHeight="1">
      <c r="A23" s="1067"/>
      <c r="B23" s="301"/>
      <c r="C23" s="1073"/>
      <c r="D23" s="1065"/>
      <c r="E23" s="1065"/>
      <c r="F23" s="1065" t="s">
        <v>2116</v>
      </c>
      <c r="G23" s="1065" t="s">
        <v>2117</v>
      </c>
      <c r="H23" s="1065"/>
      <c r="I23" s="1065"/>
      <c r="J23" s="1065"/>
      <c r="K23" s="1065"/>
      <c r="L23" s="1065"/>
    </row>
    <row r="24" spans="1:12" ht="28.15" customHeight="1">
      <c r="A24" s="253" t="s">
        <v>2123</v>
      </c>
      <c r="B24" s="309"/>
      <c r="C24" s="1074"/>
      <c r="D24" s="1065"/>
      <c r="E24" s="1065"/>
      <c r="F24" s="1065"/>
      <c r="G24" s="1065"/>
      <c r="H24" s="1065"/>
      <c r="I24" s="1065"/>
      <c r="J24" s="1065"/>
      <c r="K24" s="1065"/>
      <c r="L24" s="1065"/>
    </row>
    <row r="25" spans="1:12" ht="22.5">
      <c r="A25" s="265" t="s">
        <v>2146</v>
      </c>
      <c r="B25" s="310" t="s">
        <v>2147</v>
      </c>
      <c r="C25" s="289"/>
      <c r="D25" s="288" t="e">
        <f>+D26+D27+D28+D29+D30</f>
        <v>#REF!</v>
      </c>
      <c r="E25" s="288" t="e">
        <f t="shared" ref="E25:L25" si="2">+E26+E27+E28+E29+E30</f>
        <v>#REF!</v>
      </c>
      <c r="F25" s="288" t="e">
        <f t="shared" si="2"/>
        <v>#REF!</v>
      </c>
      <c r="G25" s="288" t="e">
        <f t="shared" si="2"/>
        <v>#REF!</v>
      </c>
      <c r="H25" s="288" t="e">
        <f t="shared" si="2"/>
        <v>#REF!</v>
      </c>
      <c r="I25" s="288" t="e">
        <f t="shared" si="2"/>
        <v>#REF!</v>
      </c>
      <c r="J25" s="288" t="e">
        <f t="shared" si="2"/>
        <v>#REF!</v>
      </c>
      <c r="K25" s="288" t="e">
        <f t="shared" si="2"/>
        <v>#REF!</v>
      </c>
      <c r="L25" s="288" t="e">
        <f t="shared" si="2"/>
        <v>#REF!</v>
      </c>
    </row>
    <row r="26" spans="1:12">
      <c r="A26" s="266" t="s">
        <v>2148</v>
      </c>
      <c r="B26" s="267" t="s">
        <v>2149</v>
      </c>
      <c r="C26" s="290" t="s">
        <v>1100</v>
      </c>
      <c r="D26" s="288" t="e">
        <f>+'CE Min'!#REF!</f>
        <v>#REF!</v>
      </c>
      <c r="E26" s="288" t="e">
        <f>+'CE Min'!#REF!</f>
        <v>#REF!</v>
      </c>
      <c r="F26" s="288" t="e">
        <f>+'CE Min'!#REF!</f>
        <v>#REF!</v>
      </c>
      <c r="G26" s="288" t="e">
        <f>+'CE Min'!#REF!</f>
        <v>#REF!</v>
      </c>
      <c r="H26" s="288" t="e">
        <f>+'CE Min'!#REF!</f>
        <v>#REF!</v>
      </c>
      <c r="I26" s="288" t="e">
        <f>+'CE Min'!#REF!</f>
        <v>#REF!</v>
      </c>
      <c r="J26" s="288" t="e">
        <f>+'CE Min'!#REF!</f>
        <v>#REF!</v>
      </c>
      <c r="K26" s="288" t="e">
        <f>+'CE Min'!#REF!</f>
        <v>#REF!</v>
      </c>
      <c r="L26" s="288" t="e">
        <f>+'CE Min'!#REF!</f>
        <v>#REF!</v>
      </c>
    </row>
    <row r="27" spans="1:12">
      <c r="A27" s="266" t="s">
        <v>2150</v>
      </c>
      <c r="B27" s="267" t="s">
        <v>2151</v>
      </c>
      <c r="C27" s="290" t="s">
        <v>1152</v>
      </c>
      <c r="D27" s="288" t="e">
        <f>+'CE Min'!#REF!</f>
        <v>#REF!</v>
      </c>
      <c r="E27" s="288" t="e">
        <f>+'CE Min'!#REF!</f>
        <v>#REF!</v>
      </c>
      <c r="F27" s="288" t="e">
        <f>+'CE Min'!#REF!</f>
        <v>#REF!</v>
      </c>
      <c r="G27" s="288" t="e">
        <f>+'CE Min'!#REF!</f>
        <v>#REF!</v>
      </c>
      <c r="H27" s="288" t="e">
        <f>+'CE Min'!#REF!</f>
        <v>#REF!</v>
      </c>
      <c r="I27" s="288" t="e">
        <f>+'CE Min'!#REF!</f>
        <v>#REF!</v>
      </c>
      <c r="J27" s="288" t="e">
        <f>+'CE Min'!#REF!</f>
        <v>#REF!</v>
      </c>
      <c r="K27" s="288" t="e">
        <f>+'CE Min'!#REF!</f>
        <v>#REF!</v>
      </c>
      <c r="L27" s="288" t="e">
        <f>+'CE Min'!#REF!</f>
        <v>#REF!</v>
      </c>
    </row>
    <row r="28" spans="1:12">
      <c r="A28" s="266" t="s">
        <v>2152</v>
      </c>
      <c r="B28" s="267" t="s">
        <v>2153</v>
      </c>
      <c r="C28" s="290" t="s">
        <v>1171</v>
      </c>
      <c r="D28" s="288" t="e">
        <f>+'CE Min'!#REF!</f>
        <v>#REF!</v>
      </c>
      <c r="E28" s="288" t="e">
        <f>+'CE Min'!#REF!</f>
        <v>#REF!</v>
      </c>
      <c r="F28" s="288" t="e">
        <f>+'CE Min'!#REF!</f>
        <v>#REF!</v>
      </c>
      <c r="G28" s="288" t="e">
        <f>+'CE Min'!#REF!</f>
        <v>#REF!</v>
      </c>
      <c r="H28" s="288" t="e">
        <f>+'CE Min'!#REF!</f>
        <v>#REF!</v>
      </c>
      <c r="I28" s="288" t="e">
        <f>+'CE Min'!#REF!</f>
        <v>#REF!</v>
      </c>
      <c r="J28" s="288" t="e">
        <f>+'CE Min'!#REF!</f>
        <v>#REF!</v>
      </c>
      <c r="K28" s="288" t="e">
        <f>+'CE Min'!#REF!</f>
        <v>#REF!</v>
      </c>
      <c r="L28" s="288" t="e">
        <f>+'CE Min'!#REF!</f>
        <v>#REF!</v>
      </c>
    </row>
    <row r="29" spans="1:12">
      <c r="A29" s="266" t="s">
        <v>2154</v>
      </c>
      <c r="B29" s="267" t="s">
        <v>2155</v>
      </c>
      <c r="C29" s="290" t="s">
        <v>1190</v>
      </c>
      <c r="D29" s="288" t="e">
        <f>+'CE Min'!#REF!</f>
        <v>#REF!</v>
      </c>
      <c r="E29" s="288" t="e">
        <f>+'CE Min'!#REF!</f>
        <v>#REF!</v>
      </c>
      <c r="F29" s="288" t="e">
        <f>+'CE Min'!#REF!</f>
        <v>#REF!</v>
      </c>
      <c r="G29" s="288" t="e">
        <f>+'CE Min'!#REF!</f>
        <v>#REF!</v>
      </c>
      <c r="H29" s="288" t="e">
        <f>+'CE Min'!#REF!</f>
        <v>#REF!</v>
      </c>
      <c r="I29" s="288" t="e">
        <f>+'CE Min'!#REF!</f>
        <v>#REF!</v>
      </c>
      <c r="J29" s="288" t="e">
        <f>+'CE Min'!#REF!</f>
        <v>#REF!</v>
      </c>
      <c r="K29" s="288" t="e">
        <f>+'CE Min'!#REF!</f>
        <v>#REF!</v>
      </c>
      <c r="L29" s="288" t="e">
        <f>+'CE Min'!#REF!</f>
        <v>#REF!</v>
      </c>
    </row>
    <row r="30" spans="1:12">
      <c r="A30" s="268" t="s">
        <v>2156</v>
      </c>
      <c r="B30" s="267" t="s">
        <v>2157</v>
      </c>
      <c r="C30" s="290" t="s">
        <v>2158</v>
      </c>
      <c r="D30" s="288" t="e">
        <f>+'CE Min'!#REF!+'CE Min'!#REF!</f>
        <v>#REF!</v>
      </c>
      <c r="E30" s="288" t="e">
        <f>+'CE Min'!#REF!+'CE Min'!#REF!</f>
        <v>#REF!</v>
      </c>
      <c r="F30" s="288" t="e">
        <f>+'CE Min'!#REF!+'CE Min'!#REF!</f>
        <v>#REF!</v>
      </c>
      <c r="G30" s="288" t="e">
        <f>+'CE Min'!#REF!+'CE Min'!#REF!</f>
        <v>#REF!</v>
      </c>
      <c r="H30" s="288" t="e">
        <f>+'CE Min'!#REF!+'CE Min'!#REF!</f>
        <v>#REF!</v>
      </c>
      <c r="I30" s="288" t="e">
        <f>+'CE Min'!#REF!+'CE Min'!#REF!</f>
        <v>#REF!</v>
      </c>
      <c r="J30" s="288" t="e">
        <f>+'CE Min'!#REF!+'CE Min'!#REF!</f>
        <v>#REF!</v>
      </c>
      <c r="K30" s="288" t="e">
        <f>+'CE Min'!#REF!+'CE Min'!#REF!</f>
        <v>#REF!</v>
      </c>
      <c r="L30" s="288" t="e">
        <f>+'CE Min'!#REF!+'CE Min'!#REF!</f>
        <v>#REF!</v>
      </c>
    </row>
    <row r="31" spans="1:12">
      <c r="A31" s="269" t="s">
        <v>2159</v>
      </c>
      <c r="B31" s="311">
        <v>16</v>
      </c>
      <c r="C31" s="291" t="s">
        <v>1485</v>
      </c>
      <c r="D31" s="288" t="e">
        <f>+'CE Min'!#REF!</f>
        <v>#REF!</v>
      </c>
      <c r="E31" s="288" t="e">
        <f>+'CE Min'!#REF!</f>
        <v>#REF!</v>
      </c>
      <c r="F31" s="288" t="e">
        <f>+'CE Min'!#REF!</f>
        <v>#REF!</v>
      </c>
      <c r="G31" s="288" t="e">
        <f>+'CE Min'!#REF!</f>
        <v>#REF!</v>
      </c>
      <c r="H31" s="288" t="e">
        <f>+'CE Min'!#REF!</f>
        <v>#REF!</v>
      </c>
      <c r="I31" s="288" t="e">
        <f>+'CE Min'!#REF!</f>
        <v>#REF!</v>
      </c>
      <c r="J31" s="288" t="e">
        <f>+'CE Min'!#REF!</f>
        <v>#REF!</v>
      </c>
      <c r="K31" s="288" t="e">
        <f>+'CE Min'!#REF!</f>
        <v>#REF!</v>
      </c>
      <c r="L31" s="288" t="e">
        <f>+'CE Min'!#REF!</f>
        <v>#REF!</v>
      </c>
    </row>
    <row r="32" spans="1:12">
      <c r="A32" s="269" t="s">
        <v>2160</v>
      </c>
      <c r="B32" s="311" t="s">
        <v>2161</v>
      </c>
      <c r="C32" s="292"/>
      <c r="D32" s="288" t="e">
        <f>+D33+D34</f>
        <v>#REF!</v>
      </c>
      <c r="E32" s="288" t="e">
        <f t="shared" ref="E32:L32" si="3">+E33+E34</f>
        <v>#REF!</v>
      </c>
      <c r="F32" s="288" t="e">
        <f t="shared" si="3"/>
        <v>#REF!</v>
      </c>
      <c r="G32" s="288" t="e">
        <f t="shared" si="3"/>
        <v>#REF!</v>
      </c>
      <c r="H32" s="288" t="e">
        <f t="shared" si="3"/>
        <v>#REF!</v>
      </c>
      <c r="I32" s="288" t="e">
        <f t="shared" si="3"/>
        <v>#REF!</v>
      </c>
      <c r="J32" s="288" t="e">
        <f t="shared" si="3"/>
        <v>#REF!</v>
      </c>
      <c r="K32" s="288" t="e">
        <f t="shared" si="3"/>
        <v>#REF!</v>
      </c>
      <c r="L32" s="288" t="e">
        <f t="shared" si="3"/>
        <v>#REF!</v>
      </c>
    </row>
    <row r="33" spans="1:12" ht="30" customHeight="1">
      <c r="A33" s="270" t="s">
        <v>2162</v>
      </c>
      <c r="B33" s="271" t="s">
        <v>2163</v>
      </c>
      <c r="C33" s="290" t="s">
        <v>2164</v>
      </c>
      <c r="D33" s="288" t="e">
        <f>+'CE Min'!#REF!-'CE Min'!#REF!-'CE Min'!#REF!-'CE Min'!#REF!-'CE Min'!#REF!</f>
        <v>#REF!</v>
      </c>
      <c r="E33" s="288" t="e">
        <f>+'CE Min'!#REF!-'CE Min'!#REF!-'CE Min'!#REF!-'CE Min'!#REF!-'CE Min'!#REF!</f>
        <v>#REF!</v>
      </c>
      <c r="F33" s="288" t="e">
        <f>+'CE Min'!#REF!-'CE Min'!#REF!-'CE Min'!#REF!-'CE Min'!#REF!-'CE Min'!#REF!</f>
        <v>#REF!</v>
      </c>
      <c r="G33" s="288" t="e">
        <f>+'CE Min'!#REF!-'CE Min'!#REF!-'CE Min'!#REF!-'CE Min'!#REF!-'CE Min'!#REF!</f>
        <v>#REF!</v>
      </c>
      <c r="H33" s="288" t="e">
        <f>+'CE Min'!#REF!-'CE Min'!#REF!-'CE Min'!#REF!-'CE Min'!#REF!-'CE Min'!#REF!</f>
        <v>#REF!</v>
      </c>
      <c r="I33" s="288" t="e">
        <f>+'CE Min'!#REF!-'CE Min'!#REF!-'CE Min'!#REF!-'CE Min'!#REF!-'CE Min'!#REF!</f>
        <v>#REF!</v>
      </c>
      <c r="J33" s="288" t="e">
        <f>+'CE Min'!#REF!-'CE Min'!#REF!-'CE Min'!#REF!-'CE Min'!#REF!-'CE Min'!#REF!</f>
        <v>#REF!</v>
      </c>
      <c r="K33" s="288" t="e">
        <f>+'CE Min'!#REF!-'CE Min'!#REF!-'CE Min'!#REF!-'CE Min'!#REF!-'CE Min'!#REF!</f>
        <v>#REF!</v>
      </c>
      <c r="L33" s="288" t="e">
        <f>+'CE Min'!#REF!-'CE Min'!#REF!-'CE Min'!#REF!-'CE Min'!#REF!-'CE Min'!#REF!</f>
        <v>#REF!</v>
      </c>
    </row>
    <row r="34" spans="1:12">
      <c r="A34" s="270" t="s">
        <v>2165</v>
      </c>
      <c r="B34" s="271" t="s">
        <v>2166</v>
      </c>
      <c r="C34" s="291" t="s">
        <v>593</v>
      </c>
      <c r="D34" s="288" t="e">
        <f>+'CE Min'!#REF!</f>
        <v>#REF!</v>
      </c>
      <c r="E34" s="288" t="e">
        <f>+'CE Min'!#REF!</f>
        <v>#REF!</v>
      </c>
      <c r="F34" s="288" t="e">
        <f>+'CE Min'!#REF!</f>
        <v>#REF!</v>
      </c>
      <c r="G34" s="288" t="e">
        <f>+'CE Min'!#REF!</f>
        <v>#REF!</v>
      </c>
      <c r="H34" s="288" t="e">
        <f>+'CE Min'!#REF!</f>
        <v>#REF!</v>
      </c>
      <c r="I34" s="288" t="e">
        <f>+'CE Min'!#REF!</f>
        <v>#REF!</v>
      </c>
      <c r="J34" s="288" t="e">
        <f>+'CE Min'!#REF!</f>
        <v>#REF!</v>
      </c>
      <c r="K34" s="288" t="e">
        <f>+'CE Min'!#REF!</f>
        <v>#REF!</v>
      </c>
      <c r="L34" s="288" t="e">
        <f>+'CE Min'!#REF!</f>
        <v>#REF!</v>
      </c>
    </row>
    <row r="35" spans="1:12">
      <c r="A35" s="269" t="s">
        <v>2167</v>
      </c>
      <c r="B35" s="311" t="s">
        <v>2168</v>
      </c>
      <c r="C35" s="292"/>
      <c r="D35" s="288" t="e">
        <f>+D36+D37</f>
        <v>#REF!</v>
      </c>
      <c r="E35" s="288" t="e">
        <f t="shared" ref="E35:L35" si="4">+E36+E37</f>
        <v>#REF!</v>
      </c>
      <c r="F35" s="288" t="e">
        <f t="shared" si="4"/>
        <v>#REF!</v>
      </c>
      <c r="G35" s="288" t="e">
        <f t="shared" si="4"/>
        <v>#REF!</v>
      </c>
      <c r="H35" s="288" t="e">
        <f t="shared" si="4"/>
        <v>#REF!</v>
      </c>
      <c r="I35" s="288" t="e">
        <f t="shared" si="4"/>
        <v>#REF!</v>
      </c>
      <c r="J35" s="288" t="e">
        <f t="shared" si="4"/>
        <v>#REF!</v>
      </c>
      <c r="K35" s="288" t="e">
        <f t="shared" si="4"/>
        <v>#REF!</v>
      </c>
      <c r="L35" s="288" t="e">
        <f t="shared" si="4"/>
        <v>#REF!</v>
      </c>
    </row>
    <row r="36" spans="1:12">
      <c r="A36" s="270" t="s">
        <v>2169</v>
      </c>
      <c r="B36" s="271" t="s">
        <v>2170</v>
      </c>
      <c r="C36" s="291" t="s">
        <v>2171</v>
      </c>
      <c r="D36" s="288" t="e">
        <f>+'CE Min'!#REF!+'CE Min'!#REF!-'CE Min'!#REF!+'CE Min'!#REF!</f>
        <v>#REF!</v>
      </c>
      <c r="E36" s="288" t="e">
        <f>+'CE Min'!#REF!+'CE Min'!#REF!-'CE Min'!#REF!+'CE Min'!#REF!</f>
        <v>#REF!</v>
      </c>
      <c r="F36" s="288" t="e">
        <f>+'CE Min'!#REF!+'CE Min'!#REF!-'CE Min'!#REF!+'CE Min'!#REF!</f>
        <v>#REF!</v>
      </c>
      <c r="G36" s="288" t="e">
        <f>+'CE Min'!#REF!+'CE Min'!#REF!-'CE Min'!#REF!+'CE Min'!#REF!</f>
        <v>#REF!</v>
      </c>
      <c r="H36" s="288" t="e">
        <f>+'CE Min'!#REF!+'CE Min'!#REF!-'CE Min'!#REF!+'CE Min'!#REF!</f>
        <v>#REF!</v>
      </c>
      <c r="I36" s="288" t="e">
        <f>+'CE Min'!#REF!+'CE Min'!#REF!-'CE Min'!#REF!+'CE Min'!#REF!</f>
        <v>#REF!</v>
      </c>
      <c r="J36" s="288" t="e">
        <f>+'CE Min'!#REF!+'CE Min'!#REF!-'CE Min'!#REF!+'CE Min'!#REF!</f>
        <v>#REF!</v>
      </c>
      <c r="K36" s="288" t="e">
        <f>+'CE Min'!#REF!+'CE Min'!#REF!-'CE Min'!#REF!+'CE Min'!#REF!</f>
        <v>#REF!</v>
      </c>
      <c r="L36" s="288" t="e">
        <f>+'CE Min'!#REF!+'CE Min'!#REF!-'CE Min'!#REF!+'CE Min'!#REF!</f>
        <v>#REF!</v>
      </c>
    </row>
    <row r="37" spans="1:12" ht="33.6" customHeight="1">
      <c r="A37" s="270" t="s">
        <v>2172</v>
      </c>
      <c r="B37" s="271" t="s">
        <v>2173</v>
      </c>
      <c r="C37" s="290" t="s">
        <v>2174</v>
      </c>
      <c r="D37" s="288" t="e">
        <f>+'CE Min'!#REF!+'CE Min'!#REF!+'CE Min'!#REF!+'CE Min'!#REF!+'CE Min'!#REF!-'CE Min'!#REF!+'CE Min'!#REF!</f>
        <v>#REF!</v>
      </c>
      <c r="E37" s="288" t="e">
        <f>+'CE Min'!#REF!+'CE Min'!#REF!+'CE Min'!#REF!+'CE Min'!#REF!+'CE Min'!#REF!-'CE Min'!#REF!+'CE Min'!#REF!</f>
        <v>#REF!</v>
      </c>
      <c r="F37" s="288" t="e">
        <f>+'CE Min'!#REF!+'CE Min'!#REF!+'CE Min'!#REF!+'CE Min'!#REF!+'CE Min'!#REF!-'CE Min'!#REF!+'CE Min'!#REF!</f>
        <v>#REF!</v>
      </c>
      <c r="G37" s="288" t="e">
        <f>+'CE Min'!#REF!+'CE Min'!#REF!+'CE Min'!#REF!+'CE Min'!#REF!+'CE Min'!#REF!-'CE Min'!#REF!+'CE Min'!#REF!</f>
        <v>#REF!</v>
      </c>
      <c r="H37" s="288" t="e">
        <f>+'CE Min'!#REF!+'CE Min'!#REF!+'CE Min'!#REF!+'CE Min'!#REF!+'CE Min'!#REF!-'CE Min'!#REF!+'CE Min'!#REF!</f>
        <v>#REF!</v>
      </c>
      <c r="I37" s="288" t="e">
        <f>+'CE Min'!#REF!+'CE Min'!#REF!+'CE Min'!#REF!+'CE Min'!#REF!+'CE Min'!#REF!-'CE Min'!#REF!+'CE Min'!#REF!</f>
        <v>#REF!</v>
      </c>
      <c r="J37" s="288" t="e">
        <f>+'CE Min'!#REF!+'CE Min'!#REF!+'CE Min'!#REF!+'CE Min'!#REF!+'CE Min'!#REF!-'CE Min'!#REF!+'CE Min'!#REF!</f>
        <v>#REF!</v>
      </c>
      <c r="K37" s="288" t="e">
        <f>+'CE Min'!#REF!+'CE Min'!#REF!+'CE Min'!#REF!+'CE Min'!#REF!+'CE Min'!#REF!-'CE Min'!#REF!+'CE Min'!#REF!</f>
        <v>#REF!</v>
      </c>
      <c r="L37" s="288" t="e">
        <f>+'CE Min'!#REF!+'CE Min'!#REF!+'CE Min'!#REF!+'CE Min'!#REF!+'CE Min'!#REF!-'CE Min'!#REF!+'CE Min'!#REF!</f>
        <v>#REF!</v>
      </c>
    </row>
    <row r="38" spans="1:12" ht="22.5">
      <c r="A38" s="272" t="s">
        <v>2175</v>
      </c>
      <c r="B38" s="312" t="s">
        <v>2176</v>
      </c>
      <c r="C38" s="292"/>
      <c r="D38" s="288" t="e">
        <f>+D39+D40+D41+D42+D43+D44+D45</f>
        <v>#REF!</v>
      </c>
      <c r="E38" s="288" t="e">
        <f t="shared" ref="E38:L38" si="5">+E39+E40+E41+E42+E43+E44+E45</f>
        <v>#REF!</v>
      </c>
      <c r="F38" s="288" t="e">
        <f t="shared" si="5"/>
        <v>#REF!</v>
      </c>
      <c r="G38" s="288" t="e">
        <f t="shared" si="5"/>
        <v>#REF!</v>
      </c>
      <c r="H38" s="288" t="e">
        <f t="shared" si="5"/>
        <v>#REF!</v>
      </c>
      <c r="I38" s="288" t="e">
        <f t="shared" si="5"/>
        <v>#REF!</v>
      </c>
      <c r="J38" s="288" t="e">
        <f t="shared" si="5"/>
        <v>#REF!</v>
      </c>
      <c r="K38" s="288" t="e">
        <f t="shared" si="5"/>
        <v>#REF!</v>
      </c>
      <c r="L38" s="288" t="e">
        <f t="shared" si="5"/>
        <v>#REF!</v>
      </c>
    </row>
    <row r="39" spans="1:12">
      <c r="A39" s="273" t="s">
        <v>2177</v>
      </c>
      <c r="B39" s="271" t="s">
        <v>2178</v>
      </c>
      <c r="C39" s="291" t="s">
        <v>621</v>
      </c>
      <c r="D39" s="288" t="e">
        <f>+'CE Min'!#REF!</f>
        <v>#REF!</v>
      </c>
      <c r="E39" s="288" t="e">
        <f>+'CE Min'!#REF!</f>
        <v>#REF!</v>
      </c>
      <c r="F39" s="288" t="e">
        <f>+'CE Min'!#REF!</f>
        <v>#REF!</v>
      </c>
      <c r="G39" s="288" t="e">
        <f>+'CE Min'!#REF!</f>
        <v>#REF!</v>
      </c>
      <c r="H39" s="288" t="e">
        <f>+'CE Min'!#REF!</f>
        <v>#REF!</v>
      </c>
      <c r="I39" s="288" t="e">
        <f>+'CE Min'!#REF!</f>
        <v>#REF!</v>
      </c>
      <c r="J39" s="288" t="e">
        <f>+'CE Min'!#REF!</f>
        <v>#REF!</v>
      </c>
      <c r="K39" s="288" t="e">
        <f>+'CE Min'!#REF!</f>
        <v>#REF!</v>
      </c>
      <c r="L39" s="288" t="e">
        <f>+'CE Min'!#REF!</f>
        <v>#REF!</v>
      </c>
    </row>
    <row r="40" spans="1:12">
      <c r="A40" s="273" t="s">
        <v>2179</v>
      </c>
      <c r="B40" s="271" t="s">
        <v>2180</v>
      </c>
      <c r="C40" s="291" t="s">
        <v>2181</v>
      </c>
      <c r="D40" s="288" t="e">
        <f>+'CE Min'!#REF!</f>
        <v>#REF!</v>
      </c>
      <c r="E40" s="288" t="e">
        <f>+'CE Min'!#REF!</f>
        <v>#REF!</v>
      </c>
      <c r="F40" s="288" t="e">
        <f>+'CE Min'!#REF!</f>
        <v>#REF!</v>
      </c>
      <c r="G40" s="288" t="e">
        <f>+'CE Min'!#REF!</f>
        <v>#REF!</v>
      </c>
      <c r="H40" s="288" t="e">
        <f>+'CE Min'!#REF!</f>
        <v>#REF!</v>
      </c>
      <c r="I40" s="288" t="e">
        <f>+'CE Min'!#REF!</f>
        <v>#REF!</v>
      </c>
      <c r="J40" s="288" t="e">
        <f>+'CE Min'!#REF!</f>
        <v>#REF!</v>
      </c>
      <c r="K40" s="288" t="e">
        <f>+'CE Min'!#REF!</f>
        <v>#REF!</v>
      </c>
      <c r="L40" s="288" t="e">
        <f>+'CE Min'!#REF!</f>
        <v>#REF!</v>
      </c>
    </row>
    <row r="41" spans="1:12">
      <c r="A41" s="274" t="s">
        <v>2182</v>
      </c>
      <c r="B41" s="271" t="s">
        <v>2183</v>
      </c>
      <c r="C41" s="291" t="s">
        <v>2184</v>
      </c>
      <c r="D41" s="288" t="e">
        <f>+'CE Min'!#REF!</f>
        <v>#REF!</v>
      </c>
      <c r="E41" s="288" t="e">
        <f>+'CE Min'!#REF!</f>
        <v>#REF!</v>
      </c>
      <c r="F41" s="288" t="e">
        <f>+'CE Min'!#REF!</f>
        <v>#REF!</v>
      </c>
      <c r="G41" s="288" t="e">
        <f>+'CE Min'!#REF!</f>
        <v>#REF!</v>
      </c>
      <c r="H41" s="288" t="e">
        <f>+'CE Min'!#REF!</f>
        <v>#REF!</v>
      </c>
      <c r="I41" s="288" t="e">
        <f>+'CE Min'!#REF!</f>
        <v>#REF!</v>
      </c>
      <c r="J41" s="288" t="e">
        <f>+'CE Min'!#REF!</f>
        <v>#REF!</v>
      </c>
      <c r="K41" s="288" t="e">
        <f>+'CE Min'!#REF!</f>
        <v>#REF!</v>
      </c>
      <c r="L41" s="288" t="e">
        <f>+'CE Min'!#REF!</f>
        <v>#REF!</v>
      </c>
    </row>
    <row r="42" spans="1:12">
      <c r="A42" s="273" t="s">
        <v>2185</v>
      </c>
      <c r="B42" s="271" t="s">
        <v>2186</v>
      </c>
      <c r="C42" s="291" t="s">
        <v>2187</v>
      </c>
      <c r="D42" s="288" t="e">
        <f>+'CE Min'!#REF!+'CE Min'!#REF!</f>
        <v>#REF!</v>
      </c>
      <c r="E42" s="288" t="e">
        <f>+'CE Min'!#REF!+'CE Min'!#REF!</f>
        <v>#REF!</v>
      </c>
      <c r="F42" s="288" t="e">
        <f>+'CE Min'!#REF!+'CE Min'!#REF!</f>
        <v>#REF!</v>
      </c>
      <c r="G42" s="288" t="e">
        <f>+'CE Min'!#REF!+'CE Min'!#REF!</f>
        <v>#REF!</v>
      </c>
      <c r="H42" s="288" t="e">
        <f>+'CE Min'!#REF!+'CE Min'!#REF!</f>
        <v>#REF!</v>
      </c>
      <c r="I42" s="288" t="e">
        <f>+'CE Min'!#REF!+'CE Min'!#REF!</f>
        <v>#REF!</v>
      </c>
      <c r="J42" s="288" t="e">
        <f>+'CE Min'!#REF!+'CE Min'!#REF!</f>
        <v>#REF!</v>
      </c>
      <c r="K42" s="288" t="e">
        <f>+'CE Min'!#REF!+'CE Min'!#REF!</f>
        <v>#REF!</v>
      </c>
      <c r="L42" s="288" t="e">
        <f>+'CE Min'!#REF!+'CE Min'!#REF!</f>
        <v>#REF!</v>
      </c>
    </row>
    <row r="43" spans="1:12">
      <c r="A43" s="273" t="s">
        <v>2188</v>
      </c>
      <c r="B43" s="271" t="s">
        <v>2189</v>
      </c>
      <c r="C43" s="291" t="s">
        <v>2190</v>
      </c>
      <c r="D43" s="288" t="e">
        <f>+'CE Min'!#REF!+'CE Min'!#REF!</f>
        <v>#REF!</v>
      </c>
      <c r="E43" s="288" t="e">
        <f>+'CE Min'!#REF!+'CE Min'!#REF!</f>
        <v>#REF!</v>
      </c>
      <c r="F43" s="288" t="e">
        <f>+'CE Min'!#REF!+'CE Min'!#REF!</f>
        <v>#REF!</v>
      </c>
      <c r="G43" s="288" t="e">
        <f>+'CE Min'!#REF!+'CE Min'!#REF!</f>
        <v>#REF!</v>
      </c>
      <c r="H43" s="288" t="e">
        <f>+'CE Min'!#REF!+'CE Min'!#REF!</f>
        <v>#REF!</v>
      </c>
      <c r="I43" s="288" t="e">
        <f>+'CE Min'!#REF!+'CE Min'!#REF!</f>
        <v>#REF!</v>
      </c>
      <c r="J43" s="288" t="e">
        <f>+'CE Min'!#REF!+'CE Min'!#REF!</f>
        <v>#REF!</v>
      </c>
      <c r="K43" s="288" t="e">
        <f>+'CE Min'!#REF!+'CE Min'!#REF!</f>
        <v>#REF!</v>
      </c>
      <c r="L43" s="288" t="e">
        <f>+'CE Min'!#REF!+'CE Min'!#REF!</f>
        <v>#REF!</v>
      </c>
    </row>
    <row r="44" spans="1:12">
      <c r="A44" s="273" t="s">
        <v>2191</v>
      </c>
      <c r="B44" s="271" t="s">
        <v>2192</v>
      </c>
      <c r="C44" s="291" t="s">
        <v>2193</v>
      </c>
      <c r="D44" s="288" t="e">
        <f>+'CE Min'!#REF!+'CE Min'!#REF!</f>
        <v>#REF!</v>
      </c>
      <c r="E44" s="288" t="e">
        <f>+'CE Min'!#REF!+'CE Min'!#REF!</f>
        <v>#REF!</v>
      </c>
      <c r="F44" s="288" t="e">
        <f>+'CE Min'!#REF!+'CE Min'!#REF!</f>
        <v>#REF!</v>
      </c>
      <c r="G44" s="288" t="e">
        <f>+'CE Min'!#REF!+'CE Min'!#REF!</f>
        <v>#REF!</v>
      </c>
      <c r="H44" s="288" t="e">
        <f>+'CE Min'!#REF!+'CE Min'!#REF!</f>
        <v>#REF!</v>
      </c>
      <c r="I44" s="288" t="e">
        <f>+'CE Min'!#REF!+'CE Min'!#REF!</f>
        <v>#REF!</v>
      </c>
      <c r="J44" s="288" t="e">
        <f>+'CE Min'!#REF!+'CE Min'!#REF!</f>
        <v>#REF!</v>
      </c>
      <c r="K44" s="288" t="e">
        <f>+'CE Min'!#REF!+'CE Min'!#REF!</f>
        <v>#REF!</v>
      </c>
      <c r="L44" s="288" t="e">
        <f>+'CE Min'!#REF!+'CE Min'!#REF!</f>
        <v>#REF!</v>
      </c>
    </row>
    <row r="45" spans="1:12" ht="82.9" customHeight="1">
      <c r="A45" s="273" t="s">
        <v>2194</v>
      </c>
      <c r="B45" s="271" t="s">
        <v>2195</v>
      </c>
      <c r="C45" s="290" t="s">
        <v>2196</v>
      </c>
      <c r="D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288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275" t="s">
        <v>2197</v>
      </c>
      <c r="B46" s="311">
        <v>20</v>
      </c>
      <c r="C46" s="290" t="s">
        <v>2198</v>
      </c>
      <c r="D46" s="288" t="e">
        <f>+'CE Min'!#REF!+'CE Min'!#REF!+'CE Min'!#REF!+'CE Min'!#REF!+'CE Min'!#REF!+'CE Min'!#REF!+'CE Min'!#REF!+'CE Min'!#REF!+'CE Min'!#REF!+'CE Min'!#REF!+'CE Min'!#REF!+'CE Min'!#REF!+'CE Min'!#REF!</f>
        <v>#REF!</v>
      </c>
      <c r="E46" s="288" t="e">
        <f>+'CE Min'!#REF!+'CE Min'!#REF!+'CE Min'!#REF!+'CE Min'!#REF!+'CE Min'!#REF!+'CE Min'!#REF!+'CE Min'!#REF!+'CE Min'!#REF!+'CE Min'!#REF!+'CE Min'!#REF!+'CE Min'!#REF!+'CE Min'!#REF!+'CE Min'!#REF!</f>
        <v>#REF!</v>
      </c>
      <c r="F46" s="288" t="e">
        <f>+'CE Min'!#REF!+'CE Min'!#REF!+'CE Min'!#REF!+'CE Min'!#REF!+'CE Min'!#REF!+'CE Min'!#REF!+'CE Min'!#REF!+'CE Min'!#REF!+'CE Min'!#REF!+'CE Min'!#REF!+'CE Min'!#REF!+'CE Min'!#REF!+'CE Min'!#REF!</f>
        <v>#REF!</v>
      </c>
      <c r="G46" s="288" t="e">
        <f>+'CE Min'!#REF!+'CE Min'!#REF!+'CE Min'!#REF!+'CE Min'!#REF!+'CE Min'!#REF!+'CE Min'!#REF!+'CE Min'!#REF!+'CE Min'!#REF!+'CE Min'!#REF!+'CE Min'!#REF!+'CE Min'!#REF!+'CE Min'!#REF!+'CE Min'!#REF!</f>
        <v>#REF!</v>
      </c>
      <c r="H46" s="288" t="e">
        <f>+'CE Min'!#REF!+'CE Min'!#REF!+'CE Min'!#REF!+'CE Min'!#REF!+'CE Min'!#REF!+'CE Min'!#REF!+'CE Min'!#REF!+'CE Min'!#REF!+'CE Min'!#REF!+'CE Min'!#REF!+'CE Min'!#REF!+'CE Min'!#REF!+'CE Min'!#REF!</f>
        <v>#REF!</v>
      </c>
      <c r="I46" s="288" t="e">
        <f>+'CE Min'!#REF!+'CE Min'!#REF!+'CE Min'!#REF!+'CE Min'!#REF!+'CE Min'!#REF!+'CE Min'!#REF!+'CE Min'!#REF!+'CE Min'!#REF!+'CE Min'!#REF!+'CE Min'!#REF!+'CE Min'!#REF!+'CE Min'!#REF!+'CE Min'!#REF!</f>
        <v>#REF!</v>
      </c>
      <c r="J46" s="288" t="e">
        <f>+'CE Min'!#REF!+'CE Min'!#REF!+'CE Min'!#REF!+'CE Min'!#REF!+'CE Min'!#REF!+'CE Min'!#REF!+'CE Min'!#REF!+'CE Min'!#REF!+'CE Min'!#REF!+'CE Min'!#REF!+'CE Min'!#REF!+'CE Min'!#REF!+'CE Min'!#REF!</f>
        <v>#REF!</v>
      </c>
      <c r="K46" s="288" t="e">
        <f>+'CE Min'!#REF!+'CE Min'!#REF!+'CE Min'!#REF!+'CE Min'!#REF!+'CE Min'!#REF!+'CE Min'!#REF!+'CE Min'!#REF!+'CE Min'!#REF!+'CE Min'!#REF!+'CE Min'!#REF!+'CE Min'!#REF!+'CE Min'!#REF!+'CE Min'!#REF!</f>
        <v>#REF!</v>
      </c>
      <c r="L46" s="288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72" t="s">
        <v>2199</v>
      </c>
      <c r="B47" s="311">
        <v>21</v>
      </c>
      <c r="C47" s="291" t="s">
        <v>1348</v>
      </c>
      <c r="D47" s="288" t="e">
        <f>+'CE Min'!#REF!</f>
        <v>#REF!</v>
      </c>
      <c r="E47" s="288" t="e">
        <f>+'CE Min'!#REF!</f>
        <v>#REF!</v>
      </c>
      <c r="F47" s="288" t="e">
        <f>+'CE Min'!#REF!</f>
        <v>#REF!</v>
      </c>
      <c r="G47" s="288" t="e">
        <f>+'CE Min'!#REF!</f>
        <v>#REF!</v>
      </c>
      <c r="H47" s="288" t="e">
        <f>+'CE Min'!#REF!</f>
        <v>#REF!</v>
      </c>
      <c r="I47" s="288" t="e">
        <f>+'CE Min'!#REF!</f>
        <v>#REF!</v>
      </c>
      <c r="J47" s="288" t="e">
        <f>+'CE Min'!#REF!</f>
        <v>#REF!</v>
      </c>
      <c r="K47" s="288" t="e">
        <f>+'CE Min'!#REF!</f>
        <v>#REF!</v>
      </c>
      <c r="L47" s="288" t="e">
        <f>+'CE Min'!#REF!</f>
        <v>#REF!</v>
      </c>
    </row>
    <row r="48" spans="1:12">
      <c r="A48" s="272" t="s">
        <v>2200</v>
      </c>
      <c r="B48" s="311">
        <v>22</v>
      </c>
      <c r="C48" s="293" t="s">
        <v>2201</v>
      </c>
      <c r="D48" s="288" t="e">
        <f>+'CE Min'!#REF!+'CE Min'!#REF!</f>
        <v>#REF!</v>
      </c>
      <c r="E48" s="288" t="e">
        <f>+'CE Min'!#REF!+'CE Min'!#REF!</f>
        <v>#REF!</v>
      </c>
      <c r="F48" s="288" t="e">
        <f>+'CE Min'!#REF!+'CE Min'!#REF!</f>
        <v>#REF!</v>
      </c>
      <c r="G48" s="288" t="e">
        <f>+'CE Min'!#REF!+'CE Min'!#REF!</f>
        <v>#REF!</v>
      </c>
      <c r="H48" s="288" t="e">
        <f>+'CE Min'!#REF!+'CE Min'!#REF!</f>
        <v>#REF!</v>
      </c>
      <c r="I48" s="288" t="e">
        <f>+'CE Min'!#REF!+'CE Min'!#REF!</f>
        <v>#REF!</v>
      </c>
      <c r="J48" s="288" t="e">
        <f>+'CE Min'!#REF!+'CE Min'!#REF!</f>
        <v>#REF!</v>
      </c>
      <c r="K48" s="288" t="e">
        <f>+'CE Min'!#REF!+'CE Min'!#REF!</f>
        <v>#REF!</v>
      </c>
      <c r="L48" s="288" t="e">
        <f>+'CE Min'!#REF!+'CE Min'!#REF!</f>
        <v>#REF!</v>
      </c>
    </row>
    <row r="49" spans="1:12">
      <c r="A49" s="272" t="s">
        <v>2202</v>
      </c>
      <c r="B49" s="311">
        <v>23</v>
      </c>
      <c r="C49" s="293" t="s">
        <v>2203</v>
      </c>
      <c r="D49" s="288" t="e">
        <f>+'CE Min'!#REF!+'CE Min'!#REF!+'CE Min'!#REF!</f>
        <v>#REF!</v>
      </c>
      <c r="E49" s="288" t="e">
        <f>+'CE Min'!#REF!+'CE Min'!#REF!+'CE Min'!#REF!</f>
        <v>#REF!</v>
      </c>
      <c r="F49" s="288" t="e">
        <f>+'CE Min'!#REF!+'CE Min'!#REF!+'CE Min'!#REF!</f>
        <v>#REF!</v>
      </c>
      <c r="G49" s="288" t="e">
        <f>+'CE Min'!#REF!+'CE Min'!#REF!+'CE Min'!#REF!</f>
        <v>#REF!</v>
      </c>
      <c r="H49" s="288" t="e">
        <f>+'CE Min'!#REF!+'CE Min'!#REF!+'CE Min'!#REF!</f>
        <v>#REF!</v>
      </c>
      <c r="I49" s="288" t="e">
        <f>+'CE Min'!#REF!+'CE Min'!#REF!+'CE Min'!#REF!</f>
        <v>#REF!</v>
      </c>
      <c r="J49" s="288" t="e">
        <f>+'CE Min'!#REF!+'CE Min'!#REF!+'CE Min'!#REF!</f>
        <v>#REF!</v>
      </c>
      <c r="K49" s="288" t="e">
        <f>+'CE Min'!#REF!+'CE Min'!#REF!+'CE Min'!#REF!</f>
        <v>#REF!</v>
      </c>
      <c r="L49" s="288" t="e">
        <f>+'CE Min'!#REF!+'CE Min'!#REF!+'CE Min'!#REF!</f>
        <v>#REF!</v>
      </c>
    </row>
    <row r="50" spans="1:12">
      <c r="A50" s="276" t="s">
        <v>2204</v>
      </c>
      <c r="B50" s="311">
        <v>24</v>
      </c>
      <c r="C50" s="294" t="s">
        <v>1935</v>
      </c>
      <c r="D50" s="288" t="e">
        <f>+'CE Min'!#REF!</f>
        <v>#REF!</v>
      </c>
      <c r="E50" s="288" t="e">
        <f>+'CE Min'!#REF!</f>
        <v>#REF!</v>
      </c>
      <c r="F50" s="288" t="e">
        <f>+'CE Min'!#REF!</f>
        <v>#REF!</v>
      </c>
      <c r="G50" s="288" t="e">
        <f>+'CE Min'!#REF!</f>
        <v>#REF!</v>
      </c>
      <c r="H50" s="288" t="e">
        <f>+'CE Min'!#REF!</f>
        <v>#REF!</v>
      </c>
      <c r="I50" s="288" t="e">
        <f>+'CE Min'!#REF!</f>
        <v>#REF!</v>
      </c>
      <c r="J50" s="288" t="e">
        <f>+'CE Min'!#REF!</f>
        <v>#REF!</v>
      </c>
      <c r="K50" s="288" t="e">
        <f>+'CE Min'!#REF!</f>
        <v>#REF!</v>
      </c>
      <c r="L50" s="288" t="e">
        <f>+'CE Min'!#REF!</f>
        <v>#REF!</v>
      </c>
    </row>
    <row r="51" spans="1:12" ht="83.65" customHeight="1">
      <c r="A51" s="277" t="s">
        <v>2205</v>
      </c>
      <c r="B51" s="311">
        <v>25</v>
      </c>
      <c r="C51" s="295" t="s">
        <v>2206</v>
      </c>
      <c r="D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288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277" t="s">
        <v>2207</v>
      </c>
      <c r="B52" s="311">
        <v>26</v>
      </c>
      <c r="C52" s="295" t="s">
        <v>2208</v>
      </c>
      <c r="D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288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72" t="s">
        <v>2209</v>
      </c>
      <c r="B53" s="311">
        <v>27</v>
      </c>
      <c r="C53" s="296" t="s">
        <v>2210</v>
      </c>
      <c r="D53" s="288" t="e">
        <f>-'CE Min'!#REF!+'CE Min'!#REF!+'CE Min'!#REF!</f>
        <v>#REF!</v>
      </c>
      <c r="E53" s="288" t="e">
        <f>-'CE Min'!#REF!+'CE Min'!#REF!+'CE Min'!#REF!</f>
        <v>#REF!</v>
      </c>
      <c r="F53" s="288" t="e">
        <f>-'CE Min'!#REF!+'CE Min'!#REF!+'CE Min'!#REF!</f>
        <v>#REF!</v>
      </c>
      <c r="G53" s="288" t="e">
        <f>-'CE Min'!#REF!+'CE Min'!#REF!+'CE Min'!#REF!</f>
        <v>#REF!</v>
      </c>
      <c r="H53" s="288" t="e">
        <f>-'CE Min'!#REF!+'CE Min'!#REF!+'CE Min'!#REF!</f>
        <v>#REF!</v>
      </c>
      <c r="I53" s="288" t="e">
        <f>-'CE Min'!#REF!+'CE Min'!#REF!+'CE Min'!#REF!</f>
        <v>#REF!</v>
      </c>
      <c r="J53" s="288" t="e">
        <f>-'CE Min'!#REF!+'CE Min'!#REF!+'CE Min'!#REF!</f>
        <v>#REF!</v>
      </c>
      <c r="K53" s="288" t="e">
        <f>-'CE Min'!#REF!+'CE Min'!#REF!+'CE Min'!#REF!</f>
        <v>#REF!</v>
      </c>
      <c r="L53" s="288" t="e">
        <f>-'CE Min'!#REF!+'CE Min'!#REF!+'CE Min'!#REF!</f>
        <v>#REF!</v>
      </c>
    </row>
    <row r="54" spans="1:12" ht="34.15" customHeight="1">
      <c r="A54" s="272" t="s">
        <v>2211</v>
      </c>
      <c r="B54" s="311">
        <v>28</v>
      </c>
      <c r="C54" s="297" t="s">
        <v>2212</v>
      </c>
      <c r="D54" s="288" t="e">
        <f>-'CE Min'!#REF!+'CE Min'!#REF!+'CE Min'!#REF!+'CE Min'!#REF!</f>
        <v>#REF!</v>
      </c>
      <c r="E54" s="288" t="e">
        <f>-'CE Min'!#REF!+'CE Min'!#REF!+'CE Min'!#REF!+'CE Min'!#REF!</f>
        <v>#REF!</v>
      </c>
      <c r="F54" s="288" t="e">
        <f>-'CE Min'!#REF!+'CE Min'!#REF!+'CE Min'!#REF!+'CE Min'!#REF!</f>
        <v>#REF!</v>
      </c>
      <c r="G54" s="288" t="e">
        <f>-'CE Min'!#REF!+'CE Min'!#REF!+'CE Min'!#REF!+'CE Min'!#REF!</f>
        <v>#REF!</v>
      </c>
      <c r="H54" s="288" t="e">
        <f>-'CE Min'!#REF!+'CE Min'!#REF!+'CE Min'!#REF!+'CE Min'!#REF!</f>
        <v>#REF!</v>
      </c>
      <c r="I54" s="288" t="e">
        <f>-'CE Min'!#REF!+'CE Min'!#REF!+'CE Min'!#REF!+'CE Min'!#REF!</f>
        <v>#REF!</v>
      </c>
      <c r="J54" s="288" t="e">
        <f>-'CE Min'!#REF!+'CE Min'!#REF!+'CE Min'!#REF!+'CE Min'!#REF!</f>
        <v>#REF!</v>
      </c>
      <c r="K54" s="288" t="e">
        <f>-'CE Min'!#REF!+'CE Min'!#REF!+'CE Min'!#REF!+'CE Min'!#REF!</f>
        <v>#REF!</v>
      </c>
      <c r="L54" s="288" t="e">
        <f>-'CE Min'!#REF!+'CE Min'!#REF!+'CE Min'!#REF!+'CE Min'!#REF!</f>
        <v>#REF!</v>
      </c>
    </row>
    <row r="55" spans="1:12" ht="66.599999999999994" customHeight="1">
      <c r="A55" s="278" t="s">
        <v>2213</v>
      </c>
      <c r="B55" s="313">
        <v>29</v>
      </c>
      <c r="C55" s="298" t="s">
        <v>2214</v>
      </c>
      <c r="D55" s="288" t="e">
        <f>-'CE Min'!#REF!-'CE Min'!#REF!-'CE Min'!#REF!-'CE Min'!#REF!-'CE Min'!#REF!+'CE Min'!#REF!+'CE Min'!#REF!+'CE Min'!#REF!+'CE Min'!#REF!+'CE Min'!#REF!</f>
        <v>#REF!</v>
      </c>
      <c r="E55" s="288" t="e">
        <f>-'CE Min'!#REF!-'CE Min'!#REF!-'CE Min'!#REF!-'CE Min'!#REF!-'CE Min'!#REF!+'CE Min'!#REF!+'CE Min'!#REF!+'CE Min'!#REF!+'CE Min'!#REF!+'CE Min'!#REF!</f>
        <v>#REF!</v>
      </c>
      <c r="F55" s="288" t="e">
        <f>-'CE Min'!#REF!-'CE Min'!#REF!-'CE Min'!#REF!-'CE Min'!#REF!-'CE Min'!#REF!+'CE Min'!#REF!+'CE Min'!#REF!+'CE Min'!#REF!+'CE Min'!#REF!+'CE Min'!#REF!</f>
        <v>#REF!</v>
      </c>
      <c r="G55" s="288" t="e">
        <f>-'CE Min'!#REF!-'CE Min'!#REF!-'CE Min'!#REF!-'CE Min'!#REF!-'CE Min'!#REF!+'CE Min'!#REF!+'CE Min'!#REF!+'CE Min'!#REF!+'CE Min'!#REF!+'CE Min'!#REF!</f>
        <v>#REF!</v>
      </c>
      <c r="H55" s="288" t="e">
        <f>-'CE Min'!#REF!-'CE Min'!#REF!-'CE Min'!#REF!-'CE Min'!#REF!-'CE Min'!#REF!+'CE Min'!#REF!+'CE Min'!#REF!+'CE Min'!#REF!+'CE Min'!#REF!+'CE Min'!#REF!</f>
        <v>#REF!</v>
      </c>
      <c r="I55" s="288" t="e">
        <f>-'CE Min'!#REF!-'CE Min'!#REF!-'CE Min'!#REF!-'CE Min'!#REF!-'CE Min'!#REF!+'CE Min'!#REF!+'CE Min'!#REF!+'CE Min'!#REF!+'CE Min'!#REF!+'CE Min'!#REF!</f>
        <v>#REF!</v>
      </c>
      <c r="J55" s="288" t="e">
        <f>-'CE Min'!#REF!-'CE Min'!#REF!-'CE Min'!#REF!-'CE Min'!#REF!-'CE Min'!#REF!+'CE Min'!#REF!+'CE Min'!#REF!+'CE Min'!#REF!+'CE Min'!#REF!+'CE Min'!#REF!</f>
        <v>#REF!</v>
      </c>
      <c r="K55" s="288" t="e">
        <f>-'CE Min'!#REF!-'CE Min'!#REF!-'CE Min'!#REF!-'CE Min'!#REF!-'CE Min'!#REF!+'CE Min'!#REF!+'CE Min'!#REF!+'CE Min'!#REF!+'CE Min'!#REF!+'CE Min'!#REF!</f>
        <v>#REF!</v>
      </c>
      <c r="L55" s="288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279" t="s">
        <v>2215</v>
      </c>
      <c r="B56" s="314" t="s">
        <v>2216</v>
      </c>
      <c r="C56" s="299"/>
      <c r="D56" s="299" t="e">
        <f>+D25+D31+D32+D35+D38+D46+D47+D48+D49+D50+D51+D52+D53+D54+D55</f>
        <v>#REF!</v>
      </c>
      <c r="E56" s="299" t="e">
        <f t="shared" ref="E56:L56" si="6">+E25+E31+E32+E35+E38+E46+E47+E48+E49+E50+E51+E52+E53+E54+E55</f>
        <v>#REF!</v>
      </c>
      <c r="F56" s="299" t="e">
        <f t="shared" si="6"/>
        <v>#REF!</v>
      </c>
      <c r="G56" s="299" t="e">
        <f t="shared" si="6"/>
        <v>#REF!</v>
      </c>
      <c r="H56" s="299" t="e">
        <f t="shared" si="6"/>
        <v>#REF!</v>
      </c>
      <c r="I56" s="299" t="e">
        <f t="shared" si="6"/>
        <v>#REF!</v>
      </c>
      <c r="J56" s="299" t="e">
        <f t="shared" si="6"/>
        <v>#REF!</v>
      </c>
      <c r="K56" s="299" t="e">
        <f t="shared" si="6"/>
        <v>#REF!</v>
      </c>
      <c r="L56" s="299" t="e">
        <f t="shared" si="6"/>
        <v>#REF!</v>
      </c>
    </row>
    <row r="57" spans="1:12" ht="14.25" thickTop="1" thickBot="1">
      <c r="A57" s="252"/>
      <c r="B57" s="315"/>
      <c r="C57" s="252"/>
    </row>
    <row r="58" spans="1:12" ht="19.5" thickTop="1" thickBot="1">
      <c r="A58" s="280" t="s">
        <v>2097</v>
      </c>
      <c r="B58" s="316" t="s">
        <v>2217</v>
      </c>
      <c r="C58" s="281"/>
      <c r="D58" s="281" t="e">
        <f>+D19-D56</f>
        <v>#REF!</v>
      </c>
      <c r="E58" s="281" t="e">
        <f t="shared" ref="E58:L58" si="7">+E19-E56</f>
        <v>#REF!</v>
      </c>
      <c r="F58" s="281" t="e">
        <f t="shared" si="7"/>
        <v>#REF!</v>
      </c>
      <c r="G58" s="281" t="e">
        <f t="shared" si="7"/>
        <v>#REF!</v>
      </c>
      <c r="H58" s="281" t="e">
        <f t="shared" si="7"/>
        <v>#REF!</v>
      </c>
      <c r="I58" s="281" t="e">
        <f t="shared" si="7"/>
        <v>#REF!</v>
      </c>
      <c r="J58" s="281" t="e">
        <f t="shared" si="7"/>
        <v>#REF!</v>
      </c>
      <c r="K58" s="281" t="e">
        <f t="shared" si="7"/>
        <v>#REF!</v>
      </c>
      <c r="L58" s="281" t="e">
        <f t="shared" si="7"/>
        <v>#REF!</v>
      </c>
    </row>
    <row r="59" spans="1:12" ht="13.5" thickTop="1"/>
  </sheetData>
  <mergeCells count="25"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12</vt:i4>
      </vt:variant>
    </vt:vector>
  </HeadingPairs>
  <TitlesOfParts>
    <vt:vector size="22" baseType="lpstr">
      <vt:lpstr>Schema CE</vt:lpstr>
      <vt:lpstr>CE Min</vt:lpstr>
      <vt:lpstr>Alimentazione CE Costi</vt:lpstr>
      <vt:lpstr>Alimentazione CE Ricavi</vt:lpstr>
      <vt:lpstr>Schema SP</vt:lpstr>
      <vt:lpstr>SP Min</vt:lpstr>
      <vt:lpstr>SP Attivo Alim</vt:lpstr>
      <vt:lpstr>Alimentazione SP P</vt:lpstr>
      <vt:lpstr>Rendiconto finanziario</vt:lpstr>
      <vt:lpstr>ce art. 44</vt:lpstr>
      <vt:lpstr>'ce art. 44'!Area_stampa</vt:lpstr>
      <vt:lpstr>'CE Min'!Area_stampa</vt:lpstr>
      <vt:lpstr>'Rendiconto finanziario'!Area_stampa</vt:lpstr>
      <vt:lpstr>'SP Min'!Area_stampa</vt:lpstr>
      <vt:lpstr>'Alimentazione CE Costi'!Titoli_stampa</vt:lpstr>
      <vt:lpstr>'Alimentazione CE Ricavi'!Titoli_stampa</vt:lpstr>
      <vt:lpstr>'Alimentazione SP P'!Titoli_stampa</vt:lpstr>
      <vt:lpstr>'CE Min'!Titoli_stampa</vt:lpstr>
      <vt:lpstr>'Schema CE'!Titoli_stampa</vt:lpstr>
      <vt:lpstr>'Schema SP'!Titoli_stampa</vt:lpstr>
      <vt:lpstr>'SP Attivo Alim'!Titoli_stampa</vt:lpstr>
      <vt:lpstr>'SP Min'!Titoli_stampa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2025-01-21T08:35:15Z</cp:lastPrinted>
  <dcterms:created xsi:type="dcterms:W3CDTF">2019-07-05T08:06:15Z</dcterms:created>
  <dcterms:modified xsi:type="dcterms:W3CDTF">2025-05-27T06:48:16Z</dcterms:modified>
</cp:coreProperties>
</file>